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ThisWorkbook" defaultThemeVersion="124226"/>
  <bookViews>
    <workbookView xWindow="-15" yWindow="795" windowWidth="15330" windowHeight="3510" tabRatio="922" firstSheet="1" activeTab="1"/>
  </bookViews>
  <sheets>
    <sheet name="Macro1" sheetId="14" state="veryHidden" r:id="rId1"/>
    <sheet name="合并资产负债表" sheetId="11" r:id="rId2"/>
    <sheet name="合并利润表" sheetId="10" r:id="rId3"/>
    <sheet name="合并现金流量表" sheetId="8" r:id="rId4"/>
    <sheet name="合并权益变动表" sheetId="9" r:id="rId5"/>
    <sheet name="本期合并底稿" sheetId="2" r:id="rId6"/>
    <sheet name="本期抵消分录" sheetId="4" r:id="rId7"/>
    <sheet name="科目表" sheetId="3" r:id="rId8"/>
  </sheets>
  <definedNames>
    <definedName name="_xlnm.Print_Area" localSheetId="4">合并权益变动表!$A$1:$J$26</definedName>
    <definedName name="_xlnm.Print_Area" localSheetId="3">合并现金流量表!$A$1:$D$45</definedName>
    <definedName name="_xlnm.Print_Titles" localSheetId="6">本期抵消分录!$1:$1</definedName>
    <definedName name="_xlnm.Print_Titles" localSheetId="5">本期合并底稿!$A:$B,本期合并底稿!$1:$2</definedName>
  </definedNames>
  <calcPr calcId="124519" fullPrecision="0"/>
  <fileRecoveryPr repairLoad="1"/>
</workbook>
</file>

<file path=xl/calcChain.xml><?xml version="1.0" encoding="utf-8"?>
<calcChain xmlns="http://schemas.openxmlformats.org/spreadsheetml/2006/main">
  <c r="I208" i="2"/>
  <c r="H208"/>
  <c r="D74" i="4"/>
  <c r="D75"/>
  <c r="D77"/>
  <c r="D76"/>
  <c r="I206" i="2"/>
  <c r="H206"/>
  <c r="D66" i="4" l="1"/>
  <c r="D65"/>
  <c r="D64"/>
  <c r="D63"/>
  <c r="D62"/>
  <c r="F146" i="2" l="1"/>
  <c r="F141"/>
  <c r="F140"/>
  <c r="F139"/>
  <c r="F138"/>
  <c r="F137"/>
  <c r="D146"/>
  <c r="F135"/>
  <c r="D42" i="4"/>
  <c r="D41"/>
  <c r="D40"/>
  <c r="D39"/>
  <c r="D38"/>
  <c r="D37"/>
  <c r="F41"/>
  <c r="E34" s="1"/>
  <c r="D36"/>
  <c r="D35"/>
  <c r="D34"/>
  <c r="D33"/>
  <c r="D32"/>
  <c r="D31"/>
  <c r="D30"/>
  <c r="D29"/>
  <c r="D28"/>
  <c r="D27"/>
  <c r="D26"/>
  <c r="D25"/>
  <c r="D24"/>
  <c r="D23"/>
  <c r="E41" l="1"/>
  <c r="G42" l="1"/>
  <c r="G41"/>
  <c r="D52" i="10" l="1"/>
  <c r="J22" i="9" l="1"/>
  <c r="J24"/>
  <c r="H8"/>
  <c r="J8" s="1"/>
  <c r="H9"/>
  <c r="J9" s="1"/>
  <c r="H19"/>
  <c r="J19" s="1"/>
  <c r="H21"/>
  <c r="J21" s="1"/>
  <c r="H22"/>
  <c r="H23"/>
  <c r="J23" s="1"/>
  <c r="H24"/>
  <c r="E20" l="1"/>
  <c r="E16"/>
  <c r="E13"/>
  <c r="E10"/>
  <c r="D43" i="10" l="1"/>
  <c r="D40"/>
  <c r="C40"/>
  <c r="D39" l="1"/>
  <c r="D38" s="1"/>
  <c r="F179" i="2" l="1"/>
  <c r="F215"/>
  <c r="F172" l="1"/>
  <c r="F69"/>
  <c r="F73" s="1"/>
  <c r="F75" s="1"/>
  <c r="F63"/>
  <c r="F219"/>
  <c r="F27"/>
  <c r="F35" s="1"/>
  <c r="F154"/>
  <c r="F83"/>
  <c r="F98" s="1"/>
  <c r="F108" s="1"/>
  <c r="F110" s="1"/>
  <c r="F113"/>
  <c r="F184"/>
  <c r="F185" s="1"/>
  <c r="F19"/>
  <c r="F44"/>
  <c r="F55" s="1"/>
  <c r="F159"/>
  <c r="F167"/>
  <c r="F173" l="1"/>
  <c r="F160"/>
  <c r="F64"/>
  <c r="F76" s="1"/>
  <c r="F36"/>
  <c r="F193"/>
  <c r="F209" s="1"/>
  <c r="F112"/>
  <c r="F121"/>
  <c r="F131" l="1"/>
  <c r="F134"/>
  <c r="F187"/>
  <c r="F189" s="1"/>
  <c r="C179" l="1"/>
  <c r="G68" l="1"/>
  <c r="G117"/>
  <c r="J117" s="1"/>
  <c r="G120"/>
  <c r="J120" s="1"/>
  <c r="D69"/>
  <c r="D73" s="1"/>
  <c r="D75" s="1"/>
  <c r="D179"/>
  <c r="D44"/>
  <c r="D83"/>
  <c r="D98" s="1"/>
  <c r="D108" s="1"/>
  <c r="D110" s="1"/>
  <c r="G116"/>
  <c r="J116" s="1"/>
  <c r="D19"/>
  <c r="G119"/>
  <c r="D63"/>
  <c r="D27"/>
  <c r="D35" s="1"/>
  <c r="D55"/>
  <c r="D215"/>
  <c r="D219" s="1"/>
  <c r="D159"/>
  <c r="D36" l="1"/>
  <c r="D113"/>
  <c r="D121" s="1"/>
  <c r="J119"/>
  <c r="C48" i="10" s="1"/>
  <c r="C43" s="1"/>
  <c r="C39" s="1"/>
  <c r="C38" s="1"/>
  <c r="G118" i="2"/>
  <c r="J118" s="1"/>
  <c r="D64"/>
  <c r="D76" s="1"/>
  <c r="D77" s="1"/>
  <c r="F77"/>
  <c r="F132"/>
  <c r="D112"/>
  <c r="D131" s="1"/>
  <c r="D167"/>
  <c r="D154"/>
  <c r="D160" s="1"/>
  <c r="D172"/>
  <c r="D184"/>
  <c r="D193"/>
  <c r="D209" s="1"/>
  <c r="D185" l="1"/>
  <c r="D173"/>
  <c r="G115"/>
  <c r="J115" s="1"/>
  <c r="D187" l="1"/>
  <c r="D189" s="1"/>
  <c r="C113"/>
  <c r="G114"/>
  <c r="G113" s="1"/>
  <c r="E113"/>
  <c r="E121" s="1"/>
  <c r="J114" l="1"/>
  <c r="J113" s="1"/>
  <c r="E12" i="9" s="1"/>
  <c r="E73" i="2"/>
  <c r="H52"/>
  <c r="G52"/>
  <c r="I52"/>
  <c r="G16"/>
  <c r="I16"/>
  <c r="H16"/>
  <c r="D3" i="4"/>
  <c r="E11" i="9" l="1"/>
  <c r="J16" i="2"/>
  <c r="C16" i="11" s="1"/>
  <c r="J52" i="2"/>
  <c r="G16" i="11" s="1"/>
  <c r="D139" i="2"/>
  <c r="D136"/>
  <c r="F224"/>
  <c r="G74"/>
  <c r="C215"/>
  <c r="C75" i="8"/>
  <c r="D55" i="4"/>
  <c r="D53"/>
  <c r="D54"/>
  <c r="D52"/>
  <c r="D51"/>
  <c r="G111" i="2"/>
  <c r="E75"/>
  <c r="D45" i="4"/>
  <c r="F10" i="9"/>
  <c r="D10"/>
  <c r="D44" i="4"/>
  <c r="D43"/>
  <c r="I89" i="2"/>
  <c r="I10" i="9"/>
  <c r="G10"/>
  <c r="H36" i="11" s="1"/>
  <c r="H82" i="2"/>
  <c r="I96"/>
  <c r="D49" i="4"/>
  <c r="D48"/>
  <c r="D47"/>
  <c r="H183" i="2"/>
  <c r="H180"/>
  <c r="H178"/>
  <c r="H175"/>
  <c r="H174"/>
  <c r="H169"/>
  <c r="H168"/>
  <c r="H164"/>
  <c r="H163"/>
  <c r="H157"/>
  <c r="H156"/>
  <c r="H152"/>
  <c r="H151"/>
  <c r="I94"/>
  <c r="H89"/>
  <c r="I87"/>
  <c r="I88"/>
  <c r="H99"/>
  <c r="H128"/>
  <c r="H129"/>
  <c r="G20" i="9"/>
  <c r="I69" i="2"/>
  <c r="I67"/>
  <c r="H127"/>
  <c r="I130"/>
  <c r="D50" i="4"/>
  <c r="I12" i="2"/>
  <c r="I20" i="9"/>
  <c r="I11" i="2"/>
  <c r="C13" i="9"/>
  <c r="I71" i="2"/>
  <c r="D7" i="4"/>
  <c r="D6"/>
  <c r="D15"/>
  <c r="F20" i="9"/>
  <c r="F13"/>
  <c r="I6" i="2"/>
  <c r="I9"/>
  <c r="I14"/>
  <c r="I23"/>
  <c r="H24"/>
  <c r="H28"/>
  <c r="H31"/>
  <c r="H34"/>
  <c r="H39"/>
  <c r="H42"/>
  <c r="H43"/>
  <c r="H49"/>
  <c r="H50"/>
  <c r="H57"/>
  <c r="H58"/>
  <c r="I61"/>
  <c r="I62"/>
  <c r="D12" i="4"/>
  <c r="D22"/>
  <c r="D21"/>
  <c r="D20"/>
  <c r="D19"/>
  <c r="D18"/>
  <c r="D17"/>
  <c r="D16"/>
  <c r="D14"/>
  <c r="D13"/>
  <c r="D11"/>
  <c r="D10"/>
  <c r="D9"/>
  <c r="D8"/>
  <c r="D5"/>
  <c r="D4"/>
  <c r="I21" i="2"/>
  <c r="H30"/>
  <c r="H40"/>
  <c r="D141"/>
  <c r="D138"/>
  <c r="D16" i="9"/>
  <c r="D20"/>
  <c r="H100" i="2"/>
  <c r="H101"/>
  <c r="H103"/>
  <c r="I103"/>
  <c r="I106"/>
  <c r="I85"/>
  <c r="I86"/>
  <c r="H93"/>
  <c r="I93"/>
  <c r="I13"/>
  <c r="C16" i="9"/>
  <c r="C20"/>
  <c r="J218" i="2"/>
  <c r="J217"/>
  <c r="J214"/>
  <c r="J213"/>
  <c r="J212"/>
  <c r="J211"/>
  <c r="J210"/>
  <c r="G174"/>
  <c r="G161"/>
  <c r="J161" s="1"/>
  <c r="G127"/>
  <c r="G130"/>
  <c r="H68"/>
  <c r="I68"/>
  <c r="J65"/>
  <c r="J56"/>
  <c r="I201"/>
  <c r="I202"/>
  <c r="I183"/>
  <c r="I181"/>
  <c r="I178"/>
  <c r="I176"/>
  <c r="I174"/>
  <c r="I170"/>
  <c r="I168"/>
  <c r="I165"/>
  <c r="I163"/>
  <c r="I158"/>
  <c r="I156"/>
  <c r="I153"/>
  <c r="I151"/>
  <c r="H94"/>
  <c r="H81"/>
  <c r="H87"/>
  <c r="H95"/>
  <c r="I104"/>
  <c r="I128"/>
  <c r="H130"/>
  <c r="I127"/>
  <c r="H12"/>
  <c r="H10"/>
  <c r="I17"/>
  <c r="I70"/>
  <c r="H7"/>
  <c r="H9"/>
  <c r="H18"/>
  <c r="H23"/>
  <c r="I26"/>
  <c r="I31"/>
  <c r="I33"/>
  <c r="I39"/>
  <c r="H41"/>
  <c r="I43"/>
  <c r="I48"/>
  <c r="I50"/>
  <c r="I54"/>
  <c r="I58"/>
  <c r="H59"/>
  <c r="H61"/>
  <c r="I30"/>
  <c r="I182"/>
  <c r="I180"/>
  <c r="I177"/>
  <c r="I175"/>
  <c r="I171"/>
  <c r="I169"/>
  <c r="I166"/>
  <c r="I164"/>
  <c r="I162"/>
  <c r="I157"/>
  <c r="I155"/>
  <c r="I152"/>
  <c r="H90"/>
  <c r="H92" s="1"/>
  <c r="I81"/>
  <c r="H88"/>
  <c r="I99"/>
  <c r="H126"/>
  <c r="H109"/>
  <c r="I124"/>
  <c r="H74"/>
  <c r="I5"/>
  <c r="I225" s="1"/>
  <c r="H11"/>
  <c r="H6"/>
  <c r="H8"/>
  <c r="H14"/>
  <c r="H22"/>
  <c r="I25"/>
  <c r="I28"/>
  <c r="I32"/>
  <c r="I34"/>
  <c r="I42"/>
  <c r="I44"/>
  <c r="I49"/>
  <c r="I51"/>
  <c r="I57"/>
  <c r="H60"/>
  <c r="H62"/>
  <c r="H21"/>
  <c r="I29"/>
  <c r="I40"/>
  <c r="I100"/>
  <c r="I102"/>
  <c r="I105"/>
  <c r="H107"/>
  <c r="H86"/>
  <c r="I92"/>
  <c r="I97"/>
  <c r="H13"/>
  <c r="H85"/>
  <c r="H106"/>
  <c r="H102"/>
  <c r="I53"/>
  <c r="H29"/>
  <c r="I60"/>
  <c r="H54"/>
  <c r="H48"/>
  <c r="H33"/>
  <c r="H26"/>
  <c r="I22"/>
  <c r="I8"/>
  <c r="I10"/>
  <c r="H5"/>
  <c r="I125"/>
  <c r="I111"/>
  <c r="I82"/>
  <c r="H125"/>
  <c r="H153"/>
  <c r="H158"/>
  <c r="H165"/>
  <c r="H170"/>
  <c r="H176"/>
  <c r="H181"/>
  <c r="H201"/>
  <c r="H97"/>
  <c r="H91"/>
  <c r="I107"/>
  <c r="H105"/>
  <c r="I101"/>
  <c r="H53"/>
  <c r="I59"/>
  <c r="H51"/>
  <c r="H44"/>
  <c r="I41"/>
  <c r="H32"/>
  <c r="H25"/>
  <c r="I18"/>
  <c r="I7"/>
  <c r="H17"/>
  <c r="I109"/>
  <c r="I66"/>
  <c r="I90"/>
  <c r="H104"/>
  <c r="I95"/>
  <c r="H155"/>
  <c r="H162"/>
  <c r="H166"/>
  <c r="H171"/>
  <c r="H177"/>
  <c r="H182"/>
  <c r="H202"/>
  <c r="H20" i="9" l="1"/>
  <c r="J20" s="1"/>
  <c r="E34" i="8"/>
  <c r="E22"/>
  <c r="E39"/>
  <c r="D9"/>
  <c r="D78"/>
  <c r="C10" i="9"/>
  <c r="H10" s="1"/>
  <c r="J10" s="1"/>
  <c r="H7"/>
  <c r="J7" s="1"/>
  <c r="D27" i="8"/>
  <c r="E25" i="9"/>
  <c r="H84" i="2"/>
  <c r="H83" s="1"/>
  <c r="C11" i="9"/>
  <c r="D27" i="11"/>
  <c r="D39" s="1"/>
  <c r="H37"/>
  <c r="H39" s="1"/>
  <c r="G144" i="2"/>
  <c r="E9" i="8"/>
  <c r="H27" i="11"/>
  <c r="D14" i="8"/>
  <c r="D22"/>
  <c r="D34"/>
  <c r="D39"/>
  <c r="D8" i="10"/>
  <c r="D23" s="1"/>
  <c r="D33" s="1"/>
  <c r="D35" s="1"/>
  <c r="D50" s="1"/>
  <c r="E14" i="8"/>
  <c r="E27"/>
  <c r="E28" s="1"/>
  <c r="D19" i="11"/>
  <c r="I84" i="2"/>
  <c r="I83" s="1"/>
  <c r="C159"/>
  <c r="G157"/>
  <c r="J157" s="1"/>
  <c r="C12" i="8" s="1"/>
  <c r="G162" i="2"/>
  <c r="J162" s="1"/>
  <c r="C17" i="8" s="1"/>
  <c r="G166" i="2"/>
  <c r="J166" s="1"/>
  <c r="C21" i="8" s="1"/>
  <c r="G168" i="2"/>
  <c r="J168" s="1"/>
  <c r="C23" i="8" s="1"/>
  <c r="G171" i="2"/>
  <c r="J171" s="1"/>
  <c r="C26" i="8" s="1"/>
  <c r="G181" i="2"/>
  <c r="J181" s="1"/>
  <c r="C36" i="8" s="1"/>
  <c r="G202" i="2"/>
  <c r="J202" s="1"/>
  <c r="C61" i="8" s="1"/>
  <c r="G206" i="2"/>
  <c r="J206" s="1"/>
  <c r="C65" i="8" s="1"/>
  <c r="C19" i="2"/>
  <c r="G7"/>
  <c r="J7" s="1"/>
  <c r="C8" i="11" s="1"/>
  <c r="G46" i="2"/>
  <c r="J46" s="1"/>
  <c r="G49"/>
  <c r="J49" s="1"/>
  <c r="G13" i="11" s="1"/>
  <c r="G87" i="2"/>
  <c r="J87" s="1"/>
  <c r="C12" i="10" s="1"/>
  <c r="G92" i="2"/>
  <c r="J92" s="1"/>
  <c r="C17" i="10" s="1"/>
  <c r="G103" i="2"/>
  <c r="J103" s="1"/>
  <c r="C28" i="10" s="1"/>
  <c r="C44" i="2"/>
  <c r="C55" s="1"/>
  <c r="C69"/>
  <c r="C73" s="1"/>
  <c r="C75" s="1"/>
  <c r="G6"/>
  <c r="J6" s="1"/>
  <c r="C7" i="11" s="1"/>
  <c r="G12" i="2"/>
  <c r="J12" s="1"/>
  <c r="C13" i="11" s="1"/>
  <c r="G40" i="2"/>
  <c r="J40" s="1"/>
  <c r="G7" i="11" s="1"/>
  <c r="G80" i="2"/>
  <c r="G81"/>
  <c r="J81" s="1"/>
  <c r="C6" i="10" s="1"/>
  <c r="I55" i="2"/>
  <c r="G70"/>
  <c r="H27"/>
  <c r="H35" s="1"/>
  <c r="I80"/>
  <c r="G5"/>
  <c r="J5" s="1"/>
  <c r="C6" i="11" s="1"/>
  <c r="G33" i="2"/>
  <c r="J33" s="1"/>
  <c r="C33" i="11" s="1"/>
  <c r="G50" i="2"/>
  <c r="J50" s="1"/>
  <c r="G14" i="11" s="1"/>
  <c r="G61" i="2"/>
  <c r="J61" s="1"/>
  <c r="G25" i="11" s="1"/>
  <c r="G62" i="2"/>
  <c r="J62" s="1"/>
  <c r="G26" i="11" s="1"/>
  <c r="H70" i="2"/>
  <c r="G67"/>
  <c r="C63"/>
  <c r="G96"/>
  <c r="G128"/>
  <c r="J128" s="1"/>
  <c r="D135"/>
  <c r="D137"/>
  <c r="G124"/>
  <c r="G125"/>
  <c r="J125" s="1"/>
  <c r="C83"/>
  <c r="C219"/>
  <c r="G8"/>
  <c r="J8" s="1"/>
  <c r="C9" i="11" s="1"/>
  <c r="G9" i="2"/>
  <c r="J9" s="1"/>
  <c r="C10" i="11" s="1"/>
  <c r="G10" i="2"/>
  <c r="J10" s="1"/>
  <c r="C11" i="11" s="1"/>
  <c r="G11" i="2"/>
  <c r="J11" s="1"/>
  <c r="C12" i="11" s="1"/>
  <c r="G13" i="2"/>
  <c r="J13" s="1"/>
  <c r="C14" i="11" s="1"/>
  <c r="G14" i="2"/>
  <c r="J14" s="1"/>
  <c r="C15" i="11" s="1"/>
  <c r="G15" i="2"/>
  <c r="J15" s="1"/>
  <c r="G17"/>
  <c r="J17" s="1"/>
  <c r="C17" i="11" s="1"/>
  <c r="G18" i="2"/>
  <c r="J18" s="1"/>
  <c r="C18" i="11" s="1"/>
  <c r="G21" i="2"/>
  <c r="J21" s="1"/>
  <c r="G23"/>
  <c r="J23" s="1"/>
  <c r="C23" i="11" s="1"/>
  <c r="G24" i="2"/>
  <c r="G25"/>
  <c r="J25" s="1"/>
  <c r="G28"/>
  <c r="J28" s="1"/>
  <c r="C28" i="11" s="1"/>
  <c r="G29" i="2"/>
  <c r="J29" s="1"/>
  <c r="G30"/>
  <c r="J30" s="1"/>
  <c r="G31"/>
  <c r="J31" s="1"/>
  <c r="C31" i="11" s="1"/>
  <c r="G32" i="2"/>
  <c r="J32" s="1"/>
  <c r="C32" i="11" s="1"/>
  <c r="G34" i="2"/>
  <c r="J34" s="1"/>
  <c r="C38" i="11" s="1"/>
  <c r="G39" i="2"/>
  <c r="J39" s="1"/>
  <c r="G41"/>
  <c r="J41" s="1"/>
  <c r="G8" i="11" s="1"/>
  <c r="G42" i="2"/>
  <c r="J42" s="1"/>
  <c r="G9" i="11" s="1"/>
  <c r="G43" i="2"/>
  <c r="J43" s="1"/>
  <c r="G10" i="11" s="1"/>
  <c r="G45" i="2"/>
  <c r="J45" s="1"/>
  <c r="G47"/>
  <c r="J47" s="1"/>
  <c r="G48"/>
  <c r="J48" s="1"/>
  <c r="G12" i="11" s="1"/>
  <c r="G51" i="2"/>
  <c r="J51" s="1"/>
  <c r="G15" i="11" s="1"/>
  <c r="G53" i="2"/>
  <c r="J53" s="1"/>
  <c r="G17" i="11" s="1"/>
  <c r="G54" i="2"/>
  <c r="J54" s="1"/>
  <c r="G18" i="11" s="1"/>
  <c r="G57" i="2"/>
  <c r="J57" s="1"/>
  <c r="G21" i="11" s="1"/>
  <c r="G59" i="2"/>
  <c r="J59" s="1"/>
  <c r="G23" i="11" s="1"/>
  <c r="G60" i="2"/>
  <c r="J60" s="1"/>
  <c r="G24" i="11" s="1"/>
  <c r="G71" i="2"/>
  <c r="H71"/>
  <c r="J127"/>
  <c r="G58"/>
  <c r="J58" s="1"/>
  <c r="G22" i="11" s="1"/>
  <c r="J174" i="2"/>
  <c r="J68"/>
  <c r="G32" i="11" s="1"/>
  <c r="G151" i="2"/>
  <c r="G152"/>
  <c r="J152" s="1"/>
  <c r="C7" i="8" s="1"/>
  <c r="G153" i="2"/>
  <c r="J153" s="1"/>
  <c r="C8" i="8" s="1"/>
  <c r="G156" i="2"/>
  <c r="J156" s="1"/>
  <c r="C11" i="8" s="1"/>
  <c r="C167" i="2"/>
  <c r="G164"/>
  <c r="J164" s="1"/>
  <c r="C19" i="8" s="1"/>
  <c r="G165" i="2"/>
  <c r="J165" s="1"/>
  <c r="C20" i="8" s="1"/>
  <c r="C172" i="2"/>
  <c r="G170"/>
  <c r="J170" s="1"/>
  <c r="C25" i="8" s="1"/>
  <c r="G175" i="2"/>
  <c r="G177"/>
  <c r="J177" s="1"/>
  <c r="C32" i="8" s="1"/>
  <c r="G180" i="2"/>
  <c r="J180" s="1"/>
  <c r="C35" i="8" s="1"/>
  <c r="G182" i="2"/>
  <c r="J182" s="1"/>
  <c r="C37" i="8" s="1"/>
  <c r="G183" i="2"/>
  <c r="J183" s="1"/>
  <c r="G186"/>
  <c r="J186" s="1"/>
  <c r="C41" i="8" s="1"/>
  <c r="G188" i="2"/>
  <c r="J188" s="1"/>
  <c r="C43" i="8" s="1"/>
  <c r="G194" i="2"/>
  <c r="J194" s="1"/>
  <c r="G196"/>
  <c r="J196" s="1"/>
  <c r="C55" i="8" s="1"/>
  <c r="G197" i="2"/>
  <c r="J197" s="1"/>
  <c r="C56" i="8" s="1"/>
  <c r="G198" i="2"/>
  <c r="J198" s="1"/>
  <c r="C57" i="8" s="1"/>
  <c r="G199" i="2"/>
  <c r="J199" s="1"/>
  <c r="C58" i="8" s="1"/>
  <c r="C223" i="2"/>
  <c r="C222"/>
  <c r="G207"/>
  <c r="J207" s="1"/>
  <c r="C66" i="8" s="1"/>
  <c r="G208" i="2"/>
  <c r="J208" s="1"/>
  <c r="C67" i="8" s="1"/>
  <c r="G216" i="2"/>
  <c r="J216" s="1"/>
  <c r="G82"/>
  <c r="J82" s="1"/>
  <c r="C7" i="10" s="1"/>
  <c r="G85" i="2"/>
  <c r="J85" s="1"/>
  <c r="C10" i="10" s="1"/>
  <c r="G86" i="2"/>
  <c r="J86" s="1"/>
  <c r="C11" i="10" s="1"/>
  <c r="G88" i="2"/>
  <c r="J88" s="1"/>
  <c r="C13" i="10" s="1"/>
  <c r="G89" i="2"/>
  <c r="J89" s="1"/>
  <c r="C14" i="10" s="1"/>
  <c r="G90" i="2"/>
  <c r="J90" s="1"/>
  <c r="C15" i="10" s="1"/>
  <c r="G91" i="2"/>
  <c r="G93"/>
  <c r="J93" s="1"/>
  <c r="C18" i="10" s="1"/>
  <c r="G95" i="2"/>
  <c r="J95" s="1"/>
  <c r="C20" i="10" s="1"/>
  <c r="G97" i="2"/>
  <c r="J97" s="1"/>
  <c r="C22" i="10" s="1"/>
  <c r="G99" i="2"/>
  <c r="J99" s="1"/>
  <c r="C24" i="10" s="1"/>
  <c r="G100" i="2"/>
  <c r="J100" s="1"/>
  <c r="C25" i="10" s="1"/>
  <c r="G101" i="2"/>
  <c r="J101" s="1"/>
  <c r="C26" i="10" s="1"/>
  <c r="G105" i="2"/>
  <c r="J105" s="1"/>
  <c r="C30" i="10" s="1"/>
  <c r="G109" i="2"/>
  <c r="J109" s="1"/>
  <c r="C34" i="10" s="1"/>
  <c r="G169" i="2"/>
  <c r="J169" s="1"/>
  <c r="G26"/>
  <c r="J26" s="1"/>
  <c r="C26" i="11" s="1"/>
  <c r="D224" i="2"/>
  <c r="G94"/>
  <c r="J94" s="1"/>
  <c r="C19" i="10" s="1"/>
  <c r="C224" i="2"/>
  <c r="G66"/>
  <c r="G22"/>
  <c r="J22" s="1"/>
  <c r="C22" i="11" s="1"/>
  <c r="G72" i="2"/>
  <c r="C154"/>
  <c r="C184"/>
  <c r="G163"/>
  <c r="J163" s="1"/>
  <c r="C18" i="8" s="1"/>
  <c r="C27" i="2"/>
  <c r="C35" s="1"/>
  <c r="I19"/>
  <c r="I27"/>
  <c r="G205"/>
  <c r="J205" s="1"/>
  <c r="C64" i="8" s="1"/>
  <c r="I63" i="2"/>
  <c r="G133"/>
  <c r="G155"/>
  <c r="J155" s="1"/>
  <c r="C10" i="8" s="1"/>
  <c r="G158" i="2"/>
  <c r="J158" s="1"/>
  <c r="C13" i="8" s="1"/>
  <c r="D223" i="2"/>
  <c r="F223"/>
  <c r="G201"/>
  <c r="J201" s="1"/>
  <c r="C60" i="8" s="1"/>
  <c r="D222" i="2"/>
  <c r="F222"/>
  <c r="G107"/>
  <c r="J107" s="1"/>
  <c r="C32" i="10" s="1"/>
  <c r="H63" i="2"/>
  <c r="J130"/>
  <c r="G102"/>
  <c r="J102" s="1"/>
  <c r="C27" i="10" s="1"/>
  <c r="G104" i="2"/>
  <c r="J104" s="1"/>
  <c r="C29" i="10" s="1"/>
  <c r="G203" i="2"/>
  <c r="J203" s="1"/>
  <c r="C62" i="8" s="1"/>
  <c r="G204" i="2"/>
  <c r="J204" s="1"/>
  <c r="C63" i="8" s="1"/>
  <c r="H55" i="2"/>
  <c r="I91"/>
  <c r="I24"/>
  <c r="D140"/>
  <c r="G129"/>
  <c r="H19"/>
  <c r="H225"/>
  <c r="H80"/>
  <c r="G126"/>
  <c r="G178"/>
  <c r="J178" s="1"/>
  <c r="C33" i="8" s="1"/>
  <c r="G195" i="2"/>
  <c r="J195" s="1"/>
  <c r="C54" i="8" s="1"/>
  <c r="G200" i="2"/>
  <c r="G84"/>
  <c r="G176"/>
  <c r="J176" s="1"/>
  <c r="C31" i="8" s="1"/>
  <c r="H19" i="11"/>
  <c r="G106" i="2"/>
  <c r="J106" s="1"/>
  <c r="C31" i="10" s="1"/>
  <c r="D28" i="8" l="1"/>
  <c r="E40"/>
  <c r="J175" i="2"/>
  <c r="G179"/>
  <c r="D40" i="11"/>
  <c r="C25" i="9"/>
  <c r="D15" i="8"/>
  <c r="H28" i="11"/>
  <c r="H40" s="1"/>
  <c r="E28" i="9"/>
  <c r="E27"/>
  <c r="D52" i="8"/>
  <c r="D68" s="1"/>
  <c r="D37" i="10"/>
  <c r="D51" s="1"/>
  <c r="F145" i="2"/>
  <c r="F147" s="1"/>
  <c r="F142"/>
  <c r="E15" i="8"/>
  <c r="E42" s="1"/>
  <c r="E44" s="1"/>
  <c r="G135" i="2"/>
  <c r="G140"/>
  <c r="I18" i="9" s="1"/>
  <c r="I16" s="1"/>
  <c r="D40" i="8"/>
  <c r="C98" i="2"/>
  <c r="C108" s="1"/>
  <c r="C110" s="1"/>
  <c r="C185"/>
  <c r="J70"/>
  <c r="G34" i="11" s="1"/>
  <c r="C160" i="2"/>
  <c r="C36"/>
  <c r="G222"/>
  <c r="I64"/>
  <c r="G215"/>
  <c r="G219" s="1"/>
  <c r="G167"/>
  <c r="C64"/>
  <c r="C76" s="1"/>
  <c r="G44"/>
  <c r="J44" s="1"/>
  <c r="G11" i="11" s="1"/>
  <c r="G27" i="2"/>
  <c r="G35" s="1"/>
  <c r="G172"/>
  <c r="H66"/>
  <c r="J66" s="1"/>
  <c r="H36"/>
  <c r="C173"/>
  <c r="I98"/>
  <c r="I108" s="1"/>
  <c r="I110" s="1"/>
  <c r="I35"/>
  <c r="I36" s="1"/>
  <c r="G63"/>
  <c r="G154"/>
  <c r="J71"/>
  <c r="G35" i="11" s="1"/>
  <c r="G19" i="2"/>
  <c r="C53" i="8"/>
  <c r="J224" i="2"/>
  <c r="J91"/>
  <c r="C16" i="10" s="1"/>
  <c r="G184" i="2"/>
  <c r="G69"/>
  <c r="J151"/>
  <c r="J154" s="1"/>
  <c r="I126"/>
  <c r="J126" s="1"/>
  <c r="F17" i="9" s="1"/>
  <c r="G224" i="2"/>
  <c r="C19" i="11"/>
  <c r="H64" i="2"/>
  <c r="C22" i="8"/>
  <c r="G27" i="11"/>
  <c r="J159" i="2"/>
  <c r="G159"/>
  <c r="J167"/>
  <c r="C14" i="8"/>
  <c r="C25" i="11"/>
  <c r="C27" s="1"/>
  <c r="J27" i="2"/>
  <c r="I129"/>
  <c r="J129" s="1"/>
  <c r="G18" i="9" s="1"/>
  <c r="H18" s="1"/>
  <c r="J84" i="2"/>
  <c r="G83"/>
  <c r="G98" s="1"/>
  <c r="G108" s="1"/>
  <c r="G110" s="1"/>
  <c r="G121" s="1"/>
  <c r="J19"/>
  <c r="G6" i="11"/>
  <c r="C21"/>
  <c r="G136" i="2"/>
  <c r="G15" i="9" s="1"/>
  <c r="C24" i="8"/>
  <c r="C27" s="1"/>
  <c r="J172" i="2"/>
  <c r="C38" i="8"/>
  <c r="C39" s="1"/>
  <c r="J184" i="2"/>
  <c r="J200"/>
  <c r="G223"/>
  <c r="J63"/>
  <c r="J80"/>
  <c r="J24"/>
  <c r="C24" i="11" s="1"/>
  <c r="C42" l="1"/>
  <c r="G138" i="2"/>
  <c r="G141"/>
  <c r="G139"/>
  <c r="G137"/>
  <c r="H15" i="9"/>
  <c r="J15" s="1"/>
  <c r="G13"/>
  <c r="C30" i="8"/>
  <c r="C34" s="1"/>
  <c r="C40" s="1"/>
  <c r="J179" i="2"/>
  <c r="J185" s="1"/>
  <c r="D42" i="8"/>
  <c r="D44" s="1"/>
  <c r="C79"/>
  <c r="J18" i="9"/>
  <c r="F16"/>
  <c r="F11" s="1"/>
  <c r="C112" i="2"/>
  <c r="C131" s="1"/>
  <c r="C132" s="1"/>
  <c r="C121"/>
  <c r="C193"/>
  <c r="C209" s="1"/>
  <c r="C221" s="1"/>
  <c r="C187"/>
  <c r="C220" s="1"/>
  <c r="C77"/>
  <c r="F225"/>
  <c r="G55"/>
  <c r="G64" s="1"/>
  <c r="F221"/>
  <c r="D225"/>
  <c r="G173"/>
  <c r="D221"/>
  <c r="J55"/>
  <c r="J64" s="1"/>
  <c r="G19" i="11"/>
  <c r="J160" i="2"/>
  <c r="H69"/>
  <c r="G36"/>
  <c r="G185"/>
  <c r="G73"/>
  <c r="G75" s="1"/>
  <c r="G160"/>
  <c r="C28" i="8"/>
  <c r="G17" i="9"/>
  <c r="H17" s="1"/>
  <c r="J17" s="1"/>
  <c r="C6" i="8"/>
  <c r="C9" s="1"/>
  <c r="C15" s="1"/>
  <c r="J173" i="2"/>
  <c r="C39" i="11"/>
  <c r="C40" s="1"/>
  <c r="H96" i="2"/>
  <c r="J223"/>
  <c r="C59" i="8"/>
  <c r="I131" i="2"/>
  <c r="I72" s="1"/>
  <c r="D132"/>
  <c r="D134"/>
  <c r="G30" i="11"/>
  <c r="J35" i="2"/>
  <c r="J36" s="1"/>
  <c r="J83"/>
  <c r="C9" i="10"/>
  <c r="C5"/>
  <c r="G193" i="2"/>
  <c r="G209" s="1"/>
  <c r="G112"/>
  <c r="G131" s="1"/>
  <c r="G132" s="1"/>
  <c r="I74" l="1"/>
  <c r="J74" s="1"/>
  <c r="G38" i="11" s="1"/>
  <c r="F21" i="4"/>
  <c r="G143" i="2"/>
  <c r="I14" i="9" s="1"/>
  <c r="I13" s="1"/>
  <c r="H67" i="2"/>
  <c r="J67" s="1"/>
  <c r="G31" i="11" s="1"/>
  <c r="C80" i="8"/>
  <c r="F25" i="9"/>
  <c r="C189" i="2"/>
  <c r="C225" s="1"/>
  <c r="F220"/>
  <c r="G28" i="11"/>
  <c r="G146" i="2"/>
  <c r="D220"/>
  <c r="G76"/>
  <c r="G77" s="1"/>
  <c r="C42" i="8"/>
  <c r="C44" s="1"/>
  <c r="G16" i="9"/>
  <c r="H16" s="1"/>
  <c r="J16" s="1"/>
  <c r="G187" i="2"/>
  <c r="G220" s="1"/>
  <c r="G221"/>
  <c r="I73"/>
  <c r="I75" s="1"/>
  <c r="I76" s="1"/>
  <c r="J69"/>
  <c r="J187"/>
  <c r="D142"/>
  <c r="D145"/>
  <c r="D147" s="1"/>
  <c r="G134"/>
  <c r="I12" i="9" s="1"/>
  <c r="C8" i="10"/>
  <c r="D55"/>
  <c r="D54"/>
  <c r="C27" i="9"/>
  <c r="J96" i="2"/>
  <c r="J222" s="1"/>
  <c r="H98"/>
  <c r="H108" s="1"/>
  <c r="H110" s="1"/>
  <c r="C46" i="8" l="1"/>
  <c r="A46"/>
  <c r="H146" i="2"/>
  <c r="J14" i="9"/>
  <c r="D13"/>
  <c r="J189" i="2"/>
  <c r="F44" i="8"/>
  <c r="G189" i="2"/>
  <c r="G225" s="1"/>
  <c r="G33" i="11"/>
  <c r="F28" i="9" s="1"/>
  <c r="E21" i="4"/>
  <c r="G22" s="1"/>
  <c r="G145" i="2"/>
  <c r="H145" s="1"/>
  <c r="G142"/>
  <c r="I11" i="9"/>
  <c r="C21" i="10"/>
  <c r="J98" i="2"/>
  <c r="J108" s="1"/>
  <c r="J110" s="1"/>
  <c r="J190" l="1"/>
  <c r="J225"/>
  <c r="J215" s="1"/>
  <c r="J219" s="1"/>
  <c r="J220" s="1"/>
  <c r="J121"/>
  <c r="D11" i="9"/>
  <c r="D25" s="1"/>
  <c r="H13"/>
  <c r="J13" s="1"/>
  <c r="G21" i="4"/>
  <c r="H111" i="2"/>
  <c r="J111" s="1"/>
  <c r="J112" s="1"/>
  <c r="F27" i="9"/>
  <c r="J193" i="2"/>
  <c r="I25" i="9"/>
  <c r="C23" i="10"/>
  <c r="C36" l="1"/>
  <c r="C52" s="1"/>
  <c r="D27" i="9"/>
  <c r="D28"/>
  <c r="J209" i="2"/>
  <c r="C74" i="8"/>
  <c r="C78" s="1"/>
  <c r="A80" s="1"/>
  <c r="H124" i="2"/>
  <c r="J124" s="1"/>
  <c r="I28" i="9"/>
  <c r="I27"/>
  <c r="C33" i="10"/>
  <c r="C35" s="1"/>
  <c r="J221" i="2" l="1"/>
  <c r="K221"/>
  <c r="H131"/>
  <c r="H72" s="1"/>
  <c r="H73" s="1"/>
  <c r="H75" s="1"/>
  <c r="H76" s="1"/>
  <c r="J131"/>
  <c r="J72" l="1"/>
  <c r="J73" s="1"/>
  <c r="J75" s="1"/>
  <c r="J76" s="1"/>
  <c r="J77" s="1"/>
  <c r="C37" i="10"/>
  <c r="C51" s="1"/>
  <c r="C50"/>
  <c r="C55"/>
  <c r="C54"/>
  <c r="C52" i="8"/>
  <c r="C68" s="1"/>
  <c r="A79" s="1"/>
  <c r="G36" i="11" l="1"/>
  <c r="G37" s="1"/>
  <c r="G39" s="1"/>
  <c r="K77" i="2"/>
  <c r="J132"/>
  <c r="G12" i="9"/>
  <c r="G11" s="1"/>
  <c r="H11" l="1"/>
  <c r="J11" s="1"/>
  <c r="H12"/>
  <c r="J12" s="1"/>
  <c r="J29" s="1"/>
  <c r="G40" i="11"/>
  <c r="C43" s="1"/>
  <c r="G25" i="9" l="1"/>
  <c r="H25" s="1"/>
  <c r="J25" s="1"/>
  <c r="E43" i="11"/>
  <c r="G27" i="9" l="1"/>
  <c r="G28"/>
  <c r="J27"/>
  <c r="J28"/>
</calcChain>
</file>

<file path=xl/sharedStrings.xml><?xml version="1.0" encoding="utf-8"?>
<sst xmlns="http://schemas.openxmlformats.org/spreadsheetml/2006/main" count="1247" uniqueCount="844">
  <si>
    <t>流动资产：</t>
    <phoneticPr fontId="3" type="noConversion"/>
  </si>
  <si>
    <t xml:space="preserve">  货币资金</t>
    <phoneticPr fontId="3" type="noConversion"/>
  </si>
  <si>
    <t xml:space="preserve">  应收票据</t>
    <phoneticPr fontId="3" type="noConversion"/>
  </si>
  <si>
    <t xml:space="preserve">  应收账款</t>
    <phoneticPr fontId="3" type="noConversion"/>
  </si>
  <si>
    <t xml:space="preserve">  预付款项</t>
    <phoneticPr fontId="3" type="noConversion"/>
  </si>
  <si>
    <t xml:space="preserve">  应收利息</t>
    <phoneticPr fontId="3" type="noConversion"/>
  </si>
  <si>
    <t xml:space="preserve">  应收股利</t>
    <phoneticPr fontId="3" type="noConversion"/>
  </si>
  <si>
    <t xml:space="preserve">  其他应收款</t>
    <phoneticPr fontId="3" type="noConversion"/>
  </si>
  <si>
    <t xml:space="preserve">  其中：应收出口退税</t>
    <phoneticPr fontId="3" type="noConversion"/>
  </si>
  <si>
    <t xml:space="preserve">  存货</t>
    <phoneticPr fontId="3" type="noConversion"/>
  </si>
  <si>
    <t xml:space="preserve">  一年内到期的非流动资产</t>
    <phoneticPr fontId="3" type="noConversion"/>
  </si>
  <si>
    <t xml:space="preserve">  其他流动资产</t>
    <phoneticPr fontId="3" type="noConversion"/>
  </si>
  <si>
    <t xml:space="preserve">  可供出售金融资产</t>
    <phoneticPr fontId="3" type="noConversion"/>
  </si>
  <si>
    <t xml:space="preserve">  持有至到期投资</t>
    <phoneticPr fontId="3" type="noConversion"/>
  </si>
  <si>
    <t xml:space="preserve">  长期应收款</t>
    <phoneticPr fontId="3" type="noConversion"/>
  </si>
  <si>
    <t xml:space="preserve">  长期股权投资</t>
    <phoneticPr fontId="3" type="noConversion"/>
  </si>
  <si>
    <t xml:space="preserve">  固定资产原值</t>
    <phoneticPr fontId="3" type="noConversion"/>
  </si>
  <si>
    <t xml:space="preserve">  减：累计折旧</t>
    <phoneticPr fontId="3" type="noConversion"/>
  </si>
  <si>
    <t xml:space="preserve">  固定资产净值</t>
    <phoneticPr fontId="3" type="noConversion"/>
  </si>
  <si>
    <t xml:space="preserve">  在建工程</t>
    <phoneticPr fontId="3" type="noConversion"/>
  </si>
  <si>
    <t xml:space="preserve">  工程物资</t>
    <phoneticPr fontId="3" type="noConversion"/>
  </si>
  <si>
    <t xml:space="preserve">  固定资产清理</t>
    <phoneticPr fontId="3" type="noConversion"/>
  </si>
  <si>
    <t xml:space="preserve">  无形资产</t>
    <phoneticPr fontId="3" type="noConversion"/>
  </si>
  <si>
    <t xml:space="preserve">  长期待摊费用</t>
    <phoneticPr fontId="3" type="noConversion"/>
  </si>
  <si>
    <t xml:space="preserve">  递延所得税资产</t>
    <phoneticPr fontId="3" type="noConversion"/>
  </si>
  <si>
    <t xml:space="preserve">  其他非流动资产</t>
    <phoneticPr fontId="3" type="noConversion"/>
  </si>
  <si>
    <t xml:space="preserve">  短期借款</t>
    <phoneticPr fontId="3" type="noConversion"/>
  </si>
  <si>
    <t xml:space="preserve">  应付票据</t>
    <phoneticPr fontId="3" type="noConversion"/>
  </si>
  <si>
    <t xml:space="preserve">  应付账款</t>
    <phoneticPr fontId="3" type="noConversion"/>
  </si>
  <si>
    <t xml:space="preserve">  预收账款</t>
    <phoneticPr fontId="3" type="noConversion"/>
  </si>
  <si>
    <t xml:space="preserve">  应付职工薪酬</t>
    <phoneticPr fontId="3" type="noConversion"/>
  </si>
  <si>
    <t xml:space="preserve">  应交税费</t>
    <phoneticPr fontId="3" type="noConversion"/>
  </si>
  <si>
    <t xml:space="preserve">  应付利息</t>
    <phoneticPr fontId="3" type="noConversion"/>
  </si>
  <si>
    <t xml:space="preserve">  应付股利</t>
    <phoneticPr fontId="3" type="noConversion"/>
  </si>
  <si>
    <t xml:space="preserve">  其他应付款</t>
    <phoneticPr fontId="3" type="noConversion"/>
  </si>
  <si>
    <r>
      <t xml:space="preserve">  </t>
    </r>
    <r>
      <rPr>
        <sz val="8"/>
        <rFont val="宋体"/>
        <family val="3"/>
        <charset val="134"/>
      </rPr>
      <t>一年内到期的非流动资产</t>
    </r>
    <phoneticPr fontId="3" type="noConversion"/>
  </si>
  <si>
    <t xml:space="preserve">  其他流动负债</t>
    <phoneticPr fontId="3" type="noConversion"/>
  </si>
  <si>
    <t>非流动负债：</t>
    <phoneticPr fontId="3" type="noConversion"/>
  </si>
  <si>
    <t xml:space="preserve">  长期借款</t>
    <phoneticPr fontId="3" type="noConversion"/>
  </si>
  <si>
    <t xml:space="preserve">  应付债券</t>
    <phoneticPr fontId="3" type="noConversion"/>
  </si>
  <si>
    <t xml:space="preserve">  长期应付款</t>
    <phoneticPr fontId="3" type="noConversion"/>
  </si>
  <si>
    <t xml:space="preserve">  专项应付款</t>
    <phoneticPr fontId="3" type="noConversion"/>
  </si>
  <si>
    <t xml:space="preserve">  递延所得税负债</t>
    <phoneticPr fontId="3" type="noConversion"/>
  </si>
  <si>
    <t xml:space="preserve">  其他非流动负债</t>
    <phoneticPr fontId="3" type="noConversion"/>
  </si>
  <si>
    <t xml:space="preserve">  实收资本</t>
    <phoneticPr fontId="3" type="noConversion"/>
  </si>
  <si>
    <t xml:space="preserve">  资本公积</t>
    <phoneticPr fontId="3" type="noConversion"/>
  </si>
  <si>
    <t xml:space="preserve">  盈余公积</t>
    <phoneticPr fontId="3" type="noConversion"/>
  </si>
  <si>
    <t xml:space="preserve">  其中：法定盈余公积</t>
    <phoneticPr fontId="3" type="noConversion"/>
  </si>
  <si>
    <t xml:space="preserve">        任意盈余公积</t>
    <phoneticPr fontId="3" type="noConversion"/>
  </si>
  <si>
    <t xml:space="preserve">  未分配利润</t>
    <phoneticPr fontId="3" type="noConversion"/>
  </si>
  <si>
    <t xml:space="preserve">  少数股东权益</t>
    <phoneticPr fontId="3" type="noConversion"/>
  </si>
  <si>
    <t>所有者权益合计</t>
    <phoneticPr fontId="3" type="noConversion"/>
  </si>
  <si>
    <t>项目</t>
    <phoneticPr fontId="3" type="noConversion"/>
  </si>
  <si>
    <t>一、营业总收入</t>
    <phoneticPr fontId="3" type="noConversion"/>
  </si>
  <si>
    <t xml:space="preserve">    其中：主营业务收入</t>
    <phoneticPr fontId="3" type="noConversion"/>
  </si>
  <si>
    <t xml:space="preserve">          其他业务收入</t>
    <phoneticPr fontId="3" type="noConversion"/>
  </si>
  <si>
    <t>二、营业总成本</t>
    <phoneticPr fontId="3" type="noConversion"/>
  </si>
  <si>
    <t xml:space="preserve">    其中：营业成本</t>
    <phoneticPr fontId="3" type="noConversion"/>
  </si>
  <si>
    <t xml:space="preserve">          其中：主营业务成本</t>
    <phoneticPr fontId="3" type="noConversion"/>
  </si>
  <si>
    <t xml:space="preserve">                其他业务成本</t>
    <phoneticPr fontId="3" type="noConversion"/>
  </si>
  <si>
    <t xml:space="preserve">          营业税金及附加</t>
    <phoneticPr fontId="3" type="noConversion"/>
  </si>
  <si>
    <t xml:space="preserve">          销售费用</t>
    <phoneticPr fontId="3" type="noConversion"/>
  </si>
  <si>
    <t xml:space="preserve">          管理费用</t>
    <phoneticPr fontId="3" type="noConversion"/>
  </si>
  <si>
    <t xml:space="preserve">          财务费用</t>
    <phoneticPr fontId="3" type="noConversion"/>
  </si>
  <si>
    <t xml:space="preserve">          其中：利息支出</t>
    <phoneticPr fontId="3" type="noConversion"/>
  </si>
  <si>
    <t xml:space="preserve">                利息收入</t>
    <phoneticPr fontId="3" type="noConversion"/>
  </si>
  <si>
    <t xml:space="preserve">                汇兑净损失</t>
    <phoneticPr fontId="3" type="noConversion"/>
  </si>
  <si>
    <t xml:space="preserve">          资产减值损失</t>
    <phoneticPr fontId="3" type="noConversion"/>
  </si>
  <si>
    <t xml:space="preserve">    加：公允价值变动净收益（净损失以“-”号填列）</t>
    <phoneticPr fontId="3" type="noConversion"/>
  </si>
  <si>
    <t xml:space="preserve">        投资收益</t>
    <phoneticPr fontId="3" type="noConversion"/>
  </si>
  <si>
    <t xml:space="preserve">        其中：对联营企业和合营企业的投资收益</t>
    <phoneticPr fontId="3" type="noConversion"/>
  </si>
  <si>
    <t>三、营业利润</t>
    <phoneticPr fontId="3" type="noConversion"/>
  </si>
  <si>
    <t xml:space="preserve">    加：营业外收入</t>
    <phoneticPr fontId="3" type="noConversion"/>
  </si>
  <si>
    <t xml:space="preserve">        其中：非流动资产处置收益</t>
    <phoneticPr fontId="3" type="noConversion"/>
  </si>
  <si>
    <t xml:space="preserve">              非货币性资产交换利得（非货币性交易收益）</t>
    <phoneticPr fontId="3" type="noConversion"/>
  </si>
  <si>
    <t xml:space="preserve">              政府补助（补贴收入）</t>
    <phoneticPr fontId="3" type="noConversion"/>
  </si>
  <si>
    <t xml:space="preserve">    减：营业外支出</t>
    <phoneticPr fontId="3" type="noConversion"/>
  </si>
  <si>
    <t xml:space="preserve">        其中：非流动资产处置损失</t>
    <phoneticPr fontId="3" type="noConversion"/>
  </si>
  <si>
    <t>四、利润总额</t>
    <phoneticPr fontId="3" type="noConversion"/>
  </si>
  <si>
    <t xml:space="preserve">    减：所得税费用</t>
    <phoneticPr fontId="3" type="noConversion"/>
  </si>
  <si>
    <t>五、净利润</t>
    <phoneticPr fontId="3" type="noConversion"/>
  </si>
  <si>
    <t xml:space="preserve">    减：少数股东损益</t>
    <phoneticPr fontId="3" type="noConversion"/>
  </si>
  <si>
    <t>项目</t>
    <phoneticPr fontId="3" type="noConversion"/>
  </si>
  <si>
    <t>借</t>
    <phoneticPr fontId="3" type="noConversion"/>
  </si>
  <si>
    <t>贷</t>
    <phoneticPr fontId="3" type="noConversion"/>
  </si>
  <si>
    <t>投资活动现金流入小计</t>
  </si>
  <si>
    <t>投资活动现金流出小计</t>
  </si>
  <si>
    <t>项目</t>
    <phoneticPr fontId="3" type="noConversion"/>
  </si>
  <si>
    <t>一、经营活动产生的现金流量</t>
    <phoneticPr fontId="3" type="noConversion"/>
  </si>
  <si>
    <t xml:space="preserve">    销售商品、提供劳务收到的现金</t>
    <phoneticPr fontId="3" type="noConversion"/>
  </si>
  <si>
    <t xml:space="preserve">    收到的税费返还</t>
    <phoneticPr fontId="3" type="noConversion"/>
  </si>
  <si>
    <t xml:space="preserve">    收到的其他与经营活动有关的现金</t>
    <phoneticPr fontId="3" type="noConversion"/>
  </si>
  <si>
    <t>经营活动现金流入小计</t>
    <phoneticPr fontId="3" type="noConversion"/>
  </si>
  <si>
    <t xml:space="preserve">    购买商品、接受劳务支付的现金</t>
    <phoneticPr fontId="3" type="noConversion"/>
  </si>
  <si>
    <t>10</t>
    <phoneticPr fontId="3" type="noConversion"/>
  </si>
  <si>
    <t xml:space="preserve">    支付给职工以及为职工支付的现金</t>
    <phoneticPr fontId="3" type="noConversion"/>
  </si>
  <si>
    <t xml:space="preserve">    支付的各项税费</t>
    <phoneticPr fontId="3" type="noConversion"/>
  </si>
  <si>
    <t>13</t>
    <phoneticPr fontId="3" type="noConversion"/>
  </si>
  <si>
    <t xml:space="preserve">    支付的其他与经营活动有关的现金</t>
    <phoneticPr fontId="3" type="noConversion"/>
  </si>
  <si>
    <t>经营活动现金流出小计</t>
    <phoneticPr fontId="3" type="noConversion"/>
  </si>
  <si>
    <t xml:space="preserve">    经营活动产生的现金流量净额</t>
    <phoneticPr fontId="3" type="noConversion"/>
  </si>
  <si>
    <t>二、投资活动产生的现金流量</t>
    <phoneticPr fontId="3" type="noConversion"/>
  </si>
  <si>
    <t xml:space="preserve">    收回投资所收到的现金</t>
    <phoneticPr fontId="3" type="noConversion"/>
  </si>
  <si>
    <t xml:space="preserve">    取得投资收益收到的现金</t>
    <phoneticPr fontId="3" type="noConversion"/>
  </si>
  <si>
    <t xml:space="preserve">    处置固定资产、无形资产和其他长期资产收回的现金净额</t>
    <phoneticPr fontId="3" type="noConversion"/>
  </si>
  <si>
    <t xml:space="preserve">    处置子公司及其他营业单位收到的现金净额</t>
    <phoneticPr fontId="3" type="noConversion"/>
  </si>
  <si>
    <t xml:space="preserve">    收到的其他与投资活动有关的现金</t>
    <phoneticPr fontId="3" type="noConversion"/>
  </si>
  <si>
    <t xml:space="preserve">    购建固定资产、无形资产和其他长期资产支付的现金</t>
    <phoneticPr fontId="3" type="noConversion"/>
  </si>
  <si>
    <t xml:space="preserve">    投资支付的现金</t>
    <phoneticPr fontId="3" type="noConversion"/>
  </si>
  <si>
    <t xml:space="preserve">    取得子公司及其他营业单位支付的现金净额</t>
    <phoneticPr fontId="3" type="noConversion"/>
  </si>
  <si>
    <t xml:space="preserve">    支付的其他与投资活动有关的现金</t>
    <phoneticPr fontId="3" type="noConversion"/>
  </si>
  <si>
    <t xml:space="preserve">    投资活动产生的现金流量净额</t>
    <phoneticPr fontId="3" type="noConversion"/>
  </si>
  <si>
    <t>三、筹资活动产生的现金流量</t>
    <phoneticPr fontId="3" type="noConversion"/>
  </si>
  <si>
    <t xml:space="preserve">    吸收投资收到的现金</t>
    <phoneticPr fontId="3" type="noConversion"/>
  </si>
  <si>
    <t xml:space="preserve">      其中：子公司吸收少数股东投资收到的现金</t>
    <phoneticPr fontId="3" type="noConversion"/>
  </si>
  <si>
    <t xml:space="preserve">    取得借款收到的现金</t>
    <phoneticPr fontId="3" type="noConversion"/>
  </si>
  <si>
    <t xml:space="preserve">    收到其他与筹资活动有关的现金</t>
    <phoneticPr fontId="3" type="noConversion"/>
  </si>
  <si>
    <t>筹资活动现金流入小计</t>
    <phoneticPr fontId="3" type="noConversion"/>
  </si>
  <si>
    <t xml:space="preserve">    偿还债务支付的现金</t>
    <phoneticPr fontId="3" type="noConversion"/>
  </si>
  <si>
    <t xml:space="preserve">    分配股利、利润或偿付利息支付的现金</t>
    <phoneticPr fontId="3" type="noConversion"/>
  </si>
  <si>
    <t xml:space="preserve">      其中：子公司支付给少数股东的股利、利润</t>
    <phoneticPr fontId="3" type="noConversion"/>
  </si>
  <si>
    <t xml:space="preserve">    支付其他与筹资活动有关的现金</t>
    <phoneticPr fontId="3" type="noConversion"/>
  </si>
  <si>
    <t>筹资活动现金流出小计</t>
    <phoneticPr fontId="3" type="noConversion"/>
  </si>
  <si>
    <t xml:space="preserve">    筹资活动产生的现金流量净额</t>
    <phoneticPr fontId="3" type="noConversion"/>
  </si>
  <si>
    <t>四、汇率变动对现金的影响</t>
    <phoneticPr fontId="3" type="noConversion"/>
  </si>
  <si>
    <t>五、现金及现金等价物净增加额</t>
    <phoneticPr fontId="3" type="noConversion"/>
  </si>
  <si>
    <t xml:space="preserve">    加：期初现金及现金等价物余额</t>
    <phoneticPr fontId="3" type="noConversion"/>
  </si>
  <si>
    <t>六、期末现金及现金等价物余额</t>
    <phoneticPr fontId="3" type="noConversion"/>
  </si>
  <si>
    <t xml:space="preserve">   净利润</t>
    <phoneticPr fontId="3" type="noConversion"/>
  </si>
  <si>
    <t xml:space="preserve">   加：资产减值准备</t>
    <phoneticPr fontId="3" type="noConversion"/>
  </si>
  <si>
    <t xml:space="preserve">       固定资产折旧</t>
    <phoneticPr fontId="3" type="noConversion"/>
  </si>
  <si>
    <t xml:space="preserve">       无形资产摊销</t>
    <phoneticPr fontId="3" type="noConversion"/>
  </si>
  <si>
    <t xml:space="preserve">       长期待摊费用摊销</t>
    <phoneticPr fontId="3" type="noConversion"/>
  </si>
  <si>
    <t xml:space="preserve">       处置固定资产、无形资产和其他长期资产的损失（收益以“－”号填列）</t>
    <phoneticPr fontId="3" type="noConversion"/>
  </si>
  <si>
    <t xml:space="preserve">       固定资产报废损失（收益以“－”号填列）</t>
    <phoneticPr fontId="3" type="noConversion"/>
  </si>
  <si>
    <t xml:space="preserve">       公允价值变动损失（收益以“－”号填列）</t>
    <phoneticPr fontId="3" type="noConversion"/>
  </si>
  <si>
    <t xml:space="preserve">       财务费用（收益以“－”号填列）</t>
    <phoneticPr fontId="3" type="noConversion"/>
  </si>
  <si>
    <t xml:space="preserve">       投资损失（收益以“－”号填列）</t>
    <phoneticPr fontId="3" type="noConversion"/>
  </si>
  <si>
    <t xml:space="preserve">       递延所得税资产减少（增加以“－”号填列）</t>
    <phoneticPr fontId="3" type="noConversion"/>
  </si>
  <si>
    <t xml:space="preserve">       递延所得税负债增加（减少以“－”号填列）</t>
    <phoneticPr fontId="3" type="noConversion"/>
  </si>
  <si>
    <t xml:space="preserve">       存货的减少（增加以“－”号填列）</t>
    <phoneticPr fontId="3" type="noConversion"/>
  </si>
  <si>
    <t xml:space="preserve">       经营性应收项目的减少（增加以“－”号填列）</t>
    <phoneticPr fontId="3" type="noConversion"/>
  </si>
  <si>
    <t xml:space="preserve">       经营性应付项目的增加（减少以“－”号填列）</t>
    <phoneticPr fontId="3" type="noConversion"/>
  </si>
  <si>
    <t xml:space="preserve">       其他</t>
    <phoneticPr fontId="3" type="noConversion"/>
  </si>
  <si>
    <t>经营活动产生的现金流量净额</t>
    <phoneticPr fontId="3" type="noConversion"/>
  </si>
  <si>
    <t>2、不涉及现金收支的投资和筹资活动：</t>
    <phoneticPr fontId="3" type="noConversion"/>
  </si>
  <si>
    <t xml:space="preserve">   债务转为资本</t>
    <phoneticPr fontId="3" type="noConversion"/>
  </si>
  <si>
    <t xml:space="preserve">   一年内到期的可转换公司债券</t>
    <phoneticPr fontId="3" type="noConversion"/>
  </si>
  <si>
    <t xml:space="preserve">   融资租入的固定资产</t>
    <phoneticPr fontId="3" type="noConversion"/>
  </si>
  <si>
    <t>3、现金及现金等价物增加情况：</t>
    <phoneticPr fontId="3" type="noConversion"/>
  </si>
  <si>
    <t xml:space="preserve">   现金的期末余额</t>
    <phoneticPr fontId="3" type="noConversion"/>
  </si>
  <si>
    <t xml:space="preserve">   减：现金的期初余额</t>
    <phoneticPr fontId="3" type="noConversion"/>
  </si>
  <si>
    <t xml:space="preserve">   加：现金等价物的期末余额</t>
    <phoneticPr fontId="3" type="noConversion"/>
  </si>
  <si>
    <t xml:space="preserve">   减：现金等价物的期初余额</t>
    <phoneticPr fontId="3" type="noConversion"/>
  </si>
  <si>
    <t xml:space="preserve">   现金及现金等价物净增加额</t>
    <phoneticPr fontId="3" type="noConversion"/>
  </si>
  <si>
    <r>
      <t>1</t>
    </r>
    <r>
      <rPr>
        <sz val="10"/>
        <rFont val="宋体"/>
        <family val="3"/>
        <charset val="134"/>
      </rPr>
      <t>、将净利润调节为经营活动现金流量：</t>
    </r>
    <phoneticPr fontId="3" type="noConversion"/>
  </si>
  <si>
    <t>科目代码</t>
    <phoneticPr fontId="3" type="noConversion"/>
  </si>
  <si>
    <t>A001</t>
    <phoneticPr fontId="3" type="noConversion"/>
  </si>
  <si>
    <t>A002</t>
  </si>
  <si>
    <t>A003</t>
  </si>
  <si>
    <t>A004</t>
  </si>
  <si>
    <t>A005</t>
  </si>
  <si>
    <t>A006</t>
  </si>
  <si>
    <t>A007</t>
  </si>
  <si>
    <t>A008</t>
  </si>
  <si>
    <t>A009</t>
  </si>
  <si>
    <t>A010</t>
  </si>
  <si>
    <t>A011</t>
  </si>
  <si>
    <t>A012</t>
  </si>
  <si>
    <t>A013</t>
  </si>
  <si>
    <t>A014</t>
  </si>
  <si>
    <t>A015</t>
  </si>
  <si>
    <t>A016</t>
  </si>
  <si>
    <t>A017</t>
  </si>
  <si>
    <t>A018</t>
  </si>
  <si>
    <t>A019</t>
  </si>
  <si>
    <t>A020</t>
  </si>
  <si>
    <t>A021</t>
  </si>
  <si>
    <t>A022</t>
  </si>
  <si>
    <t>A023</t>
  </si>
  <si>
    <t>A024</t>
  </si>
  <si>
    <t>A025</t>
  </si>
  <si>
    <t>A026</t>
    <phoneticPr fontId="3" type="noConversion"/>
  </si>
  <si>
    <t>A027</t>
  </si>
  <si>
    <t>A028</t>
  </si>
  <si>
    <t>A029</t>
  </si>
  <si>
    <t>A030</t>
  </si>
  <si>
    <t>A031</t>
  </si>
  <si>
    <t>A032</t>
  </si>
  <si>
    <t>A033</t>
  </si>
  <si>
    <t>A034</t>
  </si>
  <si>
    <t>A035</t>
  </si>
  <si>
    <t>A036</t>
  </si>
  <si>
    <t>A037</t>
  </si>
  <si>
    <t>A038</t>
  </si>
  <si>
    <t>A039</t>
    <phoneticPr fontId="3" type="noConversion"/>
  </si>
  <si>
    <t>A040</t>
  </si>
  <si>
    <t>A041</t>
  </si>
  <si>
    <t>A042</t>
  </si>
  <si>
    <t>A043</t>
  </si>
  <si>
    <t>A044</t>
  </si>
  <si>
    <t>A045</t>
  </si>
  <si>
    <t>A046</t>
  </si>
  <si>
    <t>A047</t>
  </si>
  <si>
    <t>A048</t>
  </si>
  <si>
    <t>A049</t>
  </si>
  <si>
    <t>A050</t>
  </si>
  <si>
    <t>A051</t>
  </si>
  <si>
    <t>A052</t>
  </si>
  <si>
    <t>A053</t>
    <phoneticPr fontId="3" type="noConversion"/>
  </si>
  <si>
    <t>B001</t>
    <phoneticPr fontId="3" type="noConversion"/>
  </si>
  <si>
    <t>B002</t>
  </si>
  <si>
    <t>B003</t>
  </si>
  <si>
    <t>B004</t>
    <phoneticPr fontId="3" type="noConversion"/>
  </si>
  <si>
    <t>B005</t>
  </si>
  <si>
    <t>B006</t>
  </si>
  <si>
    <t>B007</t>
  </si>
  <si>
    <t>B008</t>
  </si>
  <si>
    <t>B009</t>
  </si>
  <si>
    <t>B010</t>
  </si>
  <si>
    <t>B011</t>
  </si>
  <si>
    <t>B012</t>
  </si>
  <si>
    <t>B013</t>
  </si>
  <si>
    <t>B014</t>
  </si>
  <si>
    <t>B015</t>
  </si>
  <si>
    <t>B016</t>
  </si>
  <si>
    <t>B017</t>
  </si>
  <si>
    <t>B018</t>
    <phoneticPr fontId="3" type="noConversion"/>
  </si>
  <si>
    <t>B019</t>
  </si>
  <si>
    <t>B020</t>
  </si>
  <si>
    <t>B021</t>
  </si>
  <si>
    <t>B022</t>
  </si>
  <si>
    <t>B023</t>
  </si>
  <si>
    <t>B024</t>
  </si>
  <si>
    <t>B025</t>
  </si>
  <si>
    <t>B026</t>
  </si>
  <si>
    <t>B027</t>
    <phoneticPr fontId="3" type="noConversion"/>
  </si>
  <si>
    <t>B028</t>
    <phoneticPr fontId="3" type="noConversion"/>
  </si>
  <si>
    <t>B029</t>
    <phoneticPr fontId="3" type="noConversion"/>
  </si>
  <si>
    <t>B030</t>
  </si>
  <si>
    <t>B031</t>
  </si>
  <si>
    <t>B032</t>
  </si>
  <si>
    <t>B033</t>
  </si>
  <si>
    <t>B034</t>
  </si>
  <si>
    <t>B035</t>
  </si>
  <si>
    <t>B036</t>
  </si>
  <si>
    <t>B037</t>
  </si>
  <si>
    <t>B038</t>
  </si>
  <si>
    <t>B039</t>
  </si>
  <si>
    <t>C001</t>
    <phoneticPr fontId="3" type="noConversion"/>
  </si>
  <si>
    <t>C002</t>
  </si>
  <si>
    <t>C003</t>
  </si>
  <si>
    <t>C004</t>
    <phoneticPr fontId="3" type="noConversion"/>
  </si>
  <si>
    <t>C005</t>
  </si>
  <si>
    <t>C006</t>
  </si>
  <si>
    <t>C007</t>
  </si>
  <si>
    <t>C012</t>
  </si>
  <si>
    <t>C013</t>
  </si>
  <si>
    <t>C014</t>
  </si>
  <si>
    <t>C011</t>
    <phoneticPr fontId="3" type="noConversion"/>
  </si>
  <si>
    <t>C015</t>
  </si>
  <si>
    <t>C016</t>
    <phoneticPr fontId="3" type="noConversion"/>
  </si>
  <si>
    <t>C017</t>
  </si>
  <si>
    <t>C018</t>
  </si>
  <si>
    <t>C019</t>
  </si>
  <si>
    <t>C021</t>
    <phoneticPr fontId="3" type="noConversion"/>
  </si>
  <si>
    <t>C022</t>
  </si>
  <si>
    <t>C023</t>
  </si>
  <si>
    <t>C024</t>
  </si>
  <si>
    <t>C025</t>
    <phoneticPr fontId="3" type="noConversion"/>
  </si>
  <si>
    <t>C026</t>
  </si>
  <si>
    <t>C027</t>
  </si>
  <si>
    <t>C028</t>
  </si>
  <si>
    <t>C029</t>
    <phoneticPr fontId="3" type="noConversion"/>
  </si>
  <si>
    <t>C030</t>
    <phoneticPr fontId="3" type="noConversion"/>
  </si>
  <si>
    <t>C041</t>
    <phoneticPr fontId="3" type="noConversion"/>
  </si>
  <si>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</si>
  <si>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</si>
  <si>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</si>
  <si>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</si>
  <si>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</si>
  <si>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</si>
  <si>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</si>
  <si>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</si>
  <si>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</si>
  <si>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</si>
  <si>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</si>
  <si>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</si>
  <si>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</si>
  <si>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</si>
  <si>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</si>
  <si>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</si>
  <si>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</si>
  <si>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</si>
  <si>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</si>
  <si>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</si>
  <si>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</si>
  <si>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</si>
  <si>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</si>
  <si>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</si>
  <si>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现金流量表科目</t>
    <phoneticPr fontId="3" type="noConversion"/>
  </si>
  <si>
    <t>利润表</t>
    <phoneticPr fontId="3" type="noConversion"/>
  </si>
  <si>
    <t>资产负债表</t>
    <phoneticPr fontId="3" type="noConversion"/>
  </si>
  <si>
    <t>序号</t>
    <phoneticPr fontId="3" type="noConversion"/>
  </si>
  <si>
    <t>摘要</t>
    <phoneticPr fontId="3" type="noConversion"/>
  </si>
  <si>
    <t>科目代码</t>
    <phoneticPr fontId="3" type="noConversion"/>
  </si>
  <si>
    <t>科目名称</t>
    <phoneticPr fontId="3" type="noConversion"/>
  </si>
  <si>
    <t>营业总收入</t>
    <phoneticPr fontId="3" type="noConversion"/>
  </si>
  <si>
    <t>主营业务收入</t>
    <phoneticPr fontId="3" type="noConversion"/>
  </si>
  <si>
    <t>其他业务收入</t>
    <phoneticPr fontId="3" type="noConversion"/>
  </si>
  <si>
    <t>营业成本</t>
    <phoneticPr fontId="3" type="noConversion"/>
  </si>
  <si>
    <t>主营业务成本</t>
    <phoneticPr fontId="3" type="noConversion"/>
  </si>
  <si>
    <t>其他业务成本</t>
    <phoneticPr fontId="3" type="noConversion"/>
  </si>
  <si>
    <t>营业税金及附加</t>
    <phoneticPr fontId="3" type="noConversion"/>
  </si>
  <si>
    <t>销售费用</t>
    <phoneticPr fontId="3" type="noConversion"/>
  </si>
  <si>
    <t>管理费用</t>
    <phoneticPr fontId="3" type="noConversion"/>
  </si>
  <si>
    <t>财务费用</t>
    <phoneticPr fontId="3" type="noConversion"/>
  </si>
  <si>
    <t>利息支出</t>
    <phoneticPr fontId="3" type="noConversion"/>
  </si>
  <si>
    <t>利息收入</t>
    <phoneticPr fontId="3" type="noConversion"/>
  </si>
  <si>
    <t>汇兑净损失</t>
    <phoneticPr fontId="3" type="noConversion"/>
  </si>
  <si>
    <t>资产减值损失</t>
    <phoneticPr fontId="3" type="noConversion"/>
  </si>
  <si>
    <t>公允价值变动净收益（净损失以“-”号填列）</t>
    <phoneticPr fontId="3" type="noConversion"/>
  </si>
  <si>
    <t>投资收益</t>
    <phoneticPr fontId="3" type="noConversion"/>
  </si>
  <si>
    <t>对联营企业和合营企业的投资收益</t>
    <phoneticPr fontId="3" type="noConversion"/>
  </si>
  <si>
    <t>营业外收入</t>
    <phoneticPr fontId="3" type="noConversion"/>
  </si>
  <si>
    <t>非流动资产处置收益</t>
    <phoneticPr fontId="3" type="noConversion"/>
  </si>
  <si>
    <t>非货币性资产交换利得（非货币性交易收益）</t>
    <phoneticPr fontId="3" type="noConversion"/>
  </si>
  <si>
    <t>政府补助（补贴收入）</t>
    <phoneticPr fontId="3" type="noConversion"/>
  </si>
  <si>
    <t>营业外支出</t>
    <phoneticPr fontId="3" type="noConversion"/>
  </si>
  <si>
    <t>非流动资产处置损失</t>
    <phoneticPr fontId="3" type="noConversion"/>
  </si>
  <si>
    <t>所得税费用</t>
    <phoneticPr fontId="3" type="noConversion"/>
  </si>
  <si>
    <t>少数股东损益</t>
    <phoneticPr fontId="3" type="noConversion"/>
  </si>
  <si>
    <t>年初未分配利润</t>
    <phoneticPr fontId="3" type="noConversion"/>
  </si>
  <si>
    <t>其他转入</t>
    <phoneticPr fontId="3" type="noConversion"/>
  </si>
  <si>
    <t>提取法定盈余公积金</t>
    <phoneticPr fontId="3" type="noConversion"/>
  </si>
  <si>
    <t>提取职工奖励及福利基金</t>
    <phoneticPr fontId="3" type="noConversion"/>
  </si>
  <si>
    <t>提取储备基金</t>
    <phoneticPr fontId="3" type="noConversion"/>
  </si>
  <si>
    <t>提取企业发展基金</t>
    <phoneticPr fontId="3" type="noConversion"/>
  </si>
  <si>
    <t>利润归还投资</t>
    <phoneticPr fontId="3" type="noConversion"/>
  </si>
  <si>
    <t>应付优先股股利</t>
    <phoneticPr fontId="3" type="noConversion"/>
  </si>
  <si>
    <t>提取任意公积金</t>
    <phoneticPr fontId="3" type="noConversion"/>
  </si>
  <si>
    <t>应分配普通股股利</t>
    <phoneticPr fontId="3" type="noConversion"/>
  </si>
  <si>
    <t>应转增股本普通股股利</t>
    <phoneticPr fontId="3" type="noConversion"/>
  </si>
  <si>
    <t>A031</t>
    <phoneticPr fontId="3" type="noConversion"/>
  </si>
  <si>
    <t>A004</t>
    <phoneticPr fontId="3" type="noConversion"/>
  </si>
  <si>
    <t>A008</t>
    <phoneticPr fontId="3" type="noConversion"/>
  </si>
  <si>
    <t>增资</t>
    <phoneticPr fontId="3" type="noConversion"/>
  </si>
  <si>
    <t>国家扶植基金</t>
    <phoneticPr fontId="3" type="noConversion"/>
  </si>
  <si>
    <t>期末少数权益</t>
    <phoneticPr fontId="3" type="noConversion"/>
  </si>
  <si>
    <t>少数权益报表数</t>
    <phoneticPr fontId="3" type="noConversion"/>
  </si>
  <si>
    <t>合并资产负债表</t>
    <phoneticPr fontId="3" type="noConversion"/>
  </si>
  <si>
    <t>会企01表</t>
    <phoneticPr fontId="3" type="noConversion"/>
  </si>
  <si>
    <t>资产</t>
    <phoneticPr fontId="3" type="noConversion"/>
  </si>
  <si>
    <t>行</t>
    <phoneticPr fontId="3" type="noConversion"/>
  </si>
  <si>
    <t>期末数</t>
    <phoneticPr fontId="3" type="noConversion"/>
  </si>
  <si>
    <t>年初数</t>
    <phoneticPr fontId="3" type="noConversion"/>
  </si>
  <si>
    <t>负债及所有者权益</t>
    <phoneticPr fontId="3" type="noConversion"/>
  </si>
  <si>
    <t>01</t>
    <phoneticPr fontId="3" type="noConversion"/>
  </si>
  <si>
    <t>02</t>
  </si>
  <si>
    <t>72</t>
  </si>
  <si>
    <t>03</t>
  </si>
  <si>
    <t>73</t>
  </si>
  <si>
    <t>04</t>
  </si>
  <si>
    <t>74</t>
  </si>
  <si>
    <t>06</t>
  </si>
  <si>
    <t>76</t>
  </si>
  <si>
    <t>07</t>
  </si>
  <si>
    <t>78</t>
  </si>
  <si>
    <t>09</t>
  </si>
  <si>
    <t>79</t>
  </si>
  <si>
    <t>10</t>
  </si>
  <si>
    <t>80</t>
  </si>
  <si>
    <t>11</t>
  </si>
  <si>
    <t>81</t>
  </si>
  <si>
    <t>14</t>
  </si>
  <si>
    <t>85</t>
    <phoneticPr fontId="3" type="noConversion"/>
  </si>
  <si>
    <t>21</t>
  </si>
  <si>
    <t>89</t>
  </si>
  <si>
    <t>28</t>
    <phoneticPr fontId="3" type="noConversion"/>
  </si>
  <si>
    <t>35</t>
    <phoneticPr fontId="3" type="noConversion"/>
  </si>
  <si>
    <t>36</t>
    <phoneticPr fontId="3" type="noConversion"/>
  </si>
  <si>
    <t>102</t>
  </si>
  <si>
    <t>37</t>
  </si>
  <si>
    <t>103</t>
  </si>
  <si>
    <t>38</t>
  </si>
  <si>
    <t>104</t>
  </si>
  <si>
    <t>39</t>
  </si>
  <si>
    <t>106</t>
  </si>
  <si>
    <t>40</t>
  </si>
  <si>
    <t>41</t>
  </si>
  <si>
    <t>116</t>
  </si>
  <si>
    <t>42</t>
  </si>
  <si>
    <t>117</t>
  </si>
  <si>
    <t>43</t>
  </si>
  <si>
    <t>44</t>
  </si>
  <si>
    <t>127</t>
  </si>
  <si>
    <t>45</t>
  </si>
  <si>
    <t>128</t>
  </si>
  <si>
    <t>46</t>
  </si>
  <si>
    <t>129</t>
  </si>
  <si>
    <t>47</t>
  </si>
  <si>
    <t>130</t>
  </si>
  <si>
    <t>48</t>
  </si>
  <si>
    <t>131</t>
  </si>
  <si>
    <t>133</t>
  </si>
  <si>
    <t>134</t>
  </si>
  <si>
    <t>136</t>
  </si>
  <si>
    <t>合并利润表</t>
    <phoneticPr fontId="3" type="noConversion"/>
  </si>
  <si>
    <t>会企02表</t>
    <phoneticPr fontId="3" type="noConversion"/>
  </si>
  <si>
    <t>行</t>
    <phoneticPr fontId="3" type="noConversion"/>
  </si>
  <si>
    <t>本年金额</t>
    <phoneticPr fontId="3" type="noConversion"/>
  </si>
  <si>
    <t>上年金额</t>
    <phoneticPr fontId="3" type="noConversion"/>
  </si>
  <si>
    <t>01</t>
    <phoneticPr fontId="3" type="noConversion"/>
  </si>
  <si>
    <t>05</t>
  </si>
  <si>
    <t>08</t>
  </si>
  <si>
    <t>12</t>
  </si>
  <si>
    <t>13</t>
  </si>
  <si>
    <t>15</t>
  </si>
  <si>
    <t>16</t>
  </si>
  <si>
    <t>17</t>
  </si>
  <si>
    <t>18</t>
  </si>
  <si>
    <t>19</t>
  </si>
  <si>
    <t>22</t>
  </si>
  <si>
    <t>23</t>
  </si>
  <si>
    <t>24</t>
  </si>
  <si>
    <t>25</t>
  </si>
  <si>
    <t>26</t>
  </si>
  <si>
    <t>28</t>
  </si>
  <si>
    <t>29</t>
  </si>
  <si>
    <t>30</t>
  </si>
  <si>
    <t>31</t>
  </si>
  <si>
    <t xml:space="preserve">    （一）基本每股收益</t>
    <phoneticPr fontId="3" type="noConversion"/>
  </si>
  <si>
    <t>62</t>
  </si>
  <si>
    <t xml:space="preserve">    （二）稀释每股收益</t>
    <phoneticPr fontId="3" type="noConversion"/>
  </si>
  <si>
    <t>63</t>
  </si>
  <si>
    <t>单位负责人：         财务负责人：             复核：              制表：</t>
    <phoneticPr fontId="3" type="noConversion"/>
  </si>
  <si>
    <t>实收资本</t>
    <phoneticPr fontId="3" type="noConversion"/>
  </si>
  <si>
    <t>资本公积</t>
    <phoneticPr fontId="3" type="noConversion"/>
  </si>
  <si>
    <t>盈余公积</t>
    <phoneticPr fontId="3" type="noConversion"/>
  </si>
  <si>
    <t>未分配利润</t>
    <phoneticPr fontId="3" type="noConversion"/>
  </si>
  <si>
    <t>少数股东权益</t>
    <phoneticPr fontId="3" type="noConversion"/>
  </si>
  <si>
    <t>一、上年末余额</t>
    <phoneticPr fontId="3" type="noConversion"/>
  </si>
  <si>
    <t xml:space="preserve">    加：会计政策变更</t>
    <phoneticPr fontId="3" type="noConversion"/>
  </si>
  <si>
    <t>02</t>
    <phoneticPr fontId="3" type="noConversion"/>
  </si>
  <si>
    <t xml:space="preserve">        前期差错更正</t>
    <phoneticPr fontId="3" type="noConversion"/>
  </si>
  <si>
    <t>03</t>
    <phoneticPr fontId="3" type="noConversion"/>
  </si>
  <si>
    <t>二、本年年初余额</t>
    <phoneticPr fontId="3" type="noConversion"/>
  </si>
  <si>
    <t>06</t>
    <phoneticPr fontId="3" type="noConversion"/>
  </si>
  <si>
    <t>10</t>
    <phoneticPr fontId="3" type="noConversion"/>
  </si>
  <si>
    <t>11</t>
    <phoneticPr fontId="3" type="noConversion"/>
  </si>
  <si>
    <t xml:space="preserve">    4．其他</t>
    <phoneticPr fontId="3" type="noConversion"/>
  </si>
  <si>
    <t xml:space="preserve">  （三）所有者投入和减少资本</t>
    <phoneticPr fontId="3" type="noConversion"/>
  </si>
  <si>
    <t>26</t>
    <phoneticPr fontId="3" type="noConversion"/>
  </si>
  <si>
    <t xml:space="preserve">    1. 所有者投入资本</t>
    <phoneticPr fontId="3" type="noConversion"/>
  </si>
  <si>
    <t>27</t>
    <phoneticPr fontId="3" type="noConversion"/>
  </si>
  <si>
    <t xml:space="preserve">    3．其他</t>
    <phoneticPr fontId="3" type="noConversion"/>
  </si>
  <si>
    <t>29</t>
    <phoneticPr fontId="3" type="noConversion"/>
  </si>
  <si>
    <t xml:space="preserve">  （四）利润分配</t>
    <phoneticPr fontId="3" type="noConversion"/>
  </si>
  <si>
    <t>31</t>
    <phoneticPr fontId="3" type="noConversion"/>
  </si>
  <si>
    <t xml:space="preserve">    1．提取盈余公积</t>
    <phoneticPr fontId="3" type="noConversion"/>
  </si>
  <si>
    <t>32</t>
    <phoneticPr fontId="3" type="noConversion"/>
  </si>
  <si>
    <t xml:space="preserve">    2．对所有者（或股东）的分配</t>
    <phoneticPr fontId="3" type="noConversion"/>
  </si>
  <si>
    <t>33</t>
    <phoneticPr fontId="3" type="noConversion"/>
  </si>
  <si>
    <t>34</t>
  </si>
  <si>
    <t xml:space="preserve">  （五）所有者权益内部结转</t>
    <phoneticPr fontId="3" type="noConversion"/>
  </si>
  <si>
    <t>36</t>
    <phoneticPr fontId="3" type="noConversion"/>
  </si>
  <si>
    <t xml:space="preserve">    1．资本公积转增资本（或股本）</t>
    <phoneticPr fontId="3" type="noConversion"/>
  </si>
  <si>
    <t>37</t>
    <phoneticPr fontId="3" type="noConversion"/>
  </si>
  <si>
    <t xml:space="preserve">    2．盈余公积转增资本（或股本）</t>
    <phoneticPr fontId="3" type="noConversion"/>
  </si>
  <si>
    <t>38</t>
    <phoneticPr fontId="3" type="noConversion"/>
  </si>
  <si>
    <t xml:space="preserve">    3．盈余公积弥补亏损</t>
    <phoneticPr fontId="3" type="noConversion"/>
  </si>
  <si>
    <t>39</t>
    <phoneticPr fontId="3" type="noConversion"/>
  </si>
  <si>
    <t>四、本年年末余额</t>
    <phoneticPr fontId="3" type="noConversion"/>
  </si>
  <si>
    <t>50</t>
    <phoneticPr fontId="3" type="noConversion"/>
  </si>
  <si>
    <t xml:space="preserve"> </t>
  </si>
  <si>
    <t>会企03表</t>
    <phoneticPr fontId="3" type="noConversion"/>
  </si>
  <si>
    <t>本年金额</t>
    <phoneticPr fontId="3" type="noConversion"/>
  </si>
  <si>
    <t>上年金额</t>
    <phoneticPr fontId="3" type="noConversion"/>
  </si>
  <si>
    <t>08</t>
    <phoneticPr fontId="3" type="noConversion"/>
  </si>
  <si>
    <t>09</t>
    <phoneticPr fontId="3" type="noConversion"/>
  </si>
  <si>
    <t>12</t>
    <phoneticPr fontId="3" type="noConversion"/>
  </si>
  <si>
    <t>18</t>
    <phoneticPr fontId="3" type="noConversion"/>
  </si>
  <si>
    <t>20</t>
    <phoneticPr fontId="3" type="noConversion"/>
  </si>
  <si>
    <t>21</t>
    <phoneticPr fontId="3" type="noConversion"/>
  </si>
  <si>
    <t>22</t>
    <phoneticPr fontId="3" type="noConversion"/>
  </si>
  <si>
    <t>23</t>
    <phoneticPr fontId="3" type="noConversion"/>
  </si>
  <si>
    <t>25</t>
    <phoneticPr fontId="3" type="noConversion"/>
  </si>
  <si>
    <t>29</t>
    <phoneticPr fontId="3" type="noConversion"/>
  </si>
  <si>
    <t>30</t>
    <phoneticPr fontId="3" type="noConversion"/>
  </si>
  <si>
    <t>31</t>
    <phoneticPr fontId="3" type="noConversion"/>
  </si>
  <si>
    <t>32</t>
  </si>
  <si>
    <t>37</t>
    <phoneticPr fontId="3" type="noConversion"/>
  </si>
  <si>
    <t>38</t>
    <phoneticPr fontId="3" type="noConversion"/>
  </si>
  <si>
    <t>40</t>
    <phoneticPr fontId="3" type="noConversion"/>
  </si>
  <si>
    <t>43</t>
    <phoneticPr fontId="3" type="noConversion"/>
  </si>
  <si>
    <t>44</t>
    <phoneticPr fontId="3" type="noConversion"/>
  </si>
  <si>
    <t>45</t>
    <phoneticPr fontId="3" type="noConversion"/>
  </si>
  <si>
    <t>46</t>
    <phoneticPr fontId="3" type="noConversion"/>
  </si>
  <si>
    <t>52</t>
    <phoneticPr fontId="3" type="noConversion"/>
  </si>
  <si>
    <t>53</t>
    <phoneticPr fontId="3" type="noConversion"/>
  </si>
  <si>
    <t>54</t>
    <phoneticPr fontId="3" type="noConversion"/>
  </si>
  <si>
    <t>55</t>
    <phoneticPr fontId="3" type="noConversion"/>
  </si>
  <si>
    <t>56</t>
    <phoneticPr fontId="3" type="noConversion"/>
  </si>
  <si>
    <t>57</t>
  </si>
  <si>
    <t>58</t>
  </si>
  <si>
    <t>61</t>
    <phoneticPr fontId="3" type="noConversion"/>
  </si>
  <si>
    <t>64</t>
  </si>
  <si>
    <t>65</t>
  </si>
  <si>
    <t>68</t>
  </si>
  <si>
    <t>69</t>
  </si>
  <si>
    <t>70</t>
  </si>
  <si>
    <t>71</t>
  </si>
  <si>
    <t>75</t>
  </si>
  <si>
    <t>77</t>
  </si>
  <si>
    <t>79</t>
    <phoneticPr fontId="3" type="noConversion"/>
  </si>
  <si>
    <t>81</t>
    <phoneticPr fontId="3" type="noConversion"/>
  </si>
  <si>
    <t>82</t>
  </si>
  <si>
    <t>83</t>
  </si>
  <si>
    <t>86</t>
  </si>
  <si>
    <t>87</t>
  </si>
  <si>
    <t>88</t>
  </si>
  <si>
    <t>注：本表半年报</t>
    <phoneticPr fontId="3" type="noConversion"/>
  </si>
  <si>
    <t>合并现金流量表</t>
    <phoneticPr fontId="3" type="noConversion"/>
  </si>
  <si>
    <t>合并现金流量表补充资料</t>
    <phoneticPr fontId="3" type="noConversion"/>
  </si>
  <si>
    <t>长期股权投资与权益抵销</t>
    <phoneticPr fontId="3" type="noConversion"/>
  </si>
  <si>
    <t>A016</t>
    <phoneticPr fontId="3" type="noConversion"/>
  </si>
  <si>
    <t>A053</t>
    <phoneticPr fontId="3" type="noConversion"/>
  </si>
  <si>
    <t>投资收益与利润分配抵销</t>
    <phoneticPr fontId="3" type="noConversion"/>
  </si>
  <si>
    <t>B016</t>
    <phoneticPr fontId="3" type="noConversion"/>
  </si>
  <si>
    <t>B028</t>
    <phoneticPr fontId="3" type="noConversion"/>
  </si>
  <si>
    <t>B029</t>
    <phoneticPr fontId="3" type="noConversion"/>
  </si>
  <si>
    <t>B031</t>
    <phoneticPr fontId="3" type="noConversion"/>
  </si>
  <si>
    <t>B038</t>
    <phoneticPr fontId="3" type="noConversion"/>
  </si>
  <si>
    <t>期初少数股东权益</t>
    <phoneticPr fontId="3" type="noConversion"/>
  </si>
  <si>
    <t>a050</t>
  </si>
  <si>
    <t>a051</t>
  </si>
  <si>
    <t>流动资产：</t>
    <phoneticPr fontId="3" type="noConversion"/>
  </si>
  <si>
    <t>流动负债：</t>
    <phoneticPr fontId="3" type="noConversion"/>
  </si>
  <si>
    <t xml:space="preserve">  货币资金</t>
    <phoneticPr fontId="3" type="noConversion"/>
  </si>
  <si>
    <t>01</t>
    <phoneticPr fontId="3" type="noConversion"/>
  </si>
  <si>
    <t xml:space="preserve">  短期借款</t>
    <phoneticPr fontId="3" type="noConversion"/>
  </si>
  <si>
    <t>71</t>
    <phoneticPr fontId="3" type="noConversion"/>
  </si>
  <si>
    <t xml:space="preserve">  应收票据</t>
    <phoneticPr fontId="3" type="noConversion"/>
  </si>
  <si>
    <t xml:space="preserve">  应付票据</t>
    <phoneticPr fontId="3" type="noConversion"/>
  </si>
  <si>
    <t xml:space="preserve">  应收账款</t>
    <phoneticPr fontId="3" type="noConversion"/>
  </si>
  <si>
    <t xml:space="preserve">  应付账款</t>
    <phoneticPr fontId="3" type="noConversion"/>
  </si>
  <si>
    <t xml:space="preserve">  预付款项</t>
    <phoneticPr fontId="3" type="noConversion"/>
  </si>
  <si>
    <t xml:space="preserve">  预收账款</t>
    <phoneticPr fontId="3" type="noConversion"/>
  </si>
  <si>
    <t xml:space="preserve">  应收利息</t>
    <phoneticPr fontId="3" type="noConversion"/>
  </si>
  <si>
    <t xml:space="preserve">  应付职工薪酬</t>
    <phoneticPr fontId="3" type="noConversion"/>
  </si>
  <si>
    <t xml:space="preserve">  应收股利</t>
    <phoneticPr fontId="3" type="noConversion"/>
  </si>
  <si>
    <t xml:space="preserve">  应交税费</t>
    <phoneticPr fontId="3" type="noConversion"/>
  </si>
  <si>
    <t xml:space="preserve">  其他应收款</t>
    <phoneticPr fontId="3" type="noConversion"/>
  </si>
  <si>
    <t xml:space="preserve">  应付利息</t>
    <phoneticPr fontId="3" type="noConversion"/>
  </si>
  <si>
    <t xml:space="preserve">  其中：应收出口退税</t>
    <phoneticPr fontId="3" type="noConversion"/>
  </si>
  <si>
    <t xml:space="preserve">  应付股利</t>
    <phoneticPr fontId="3" type="noConversion"/>
  </si>
  <si>
    <t xml:space="preserve">  存货</t>
    <phoneticPr fontId="3" type="noConversion"/>
  </si>
  <si>
    <t xml:space="preserve">  其他应付款</t>
    <phoneticPr fontId="3" type="noConversion"/>
  </si>
  <si>
    <t>85</t>
    <phoneticPr fontId="3" type="noConversion"/>
  </si>
  <si>
    <t xml:space="preserve">  一年内到期的非流动资产</t>
    <phoneticPr fontId="3" type="noConversion"/>
  </si>
  <si>
    <t xml:space="preserve">  其他流动资产</t>
    <phoneticPr fontId="3" type="noConversion"/>
  </si>
  <si>
    <t>28</t>
    <phoneticPr fontId="3" type="noConversion"/>
  </si>
  <si>
    <t xml:space="preserve">  其他流动负债</t>
    <phoneticPr fontId="3" type="noConversion"/>
  </si>
  <si>
    <t>95</t>
    <phoneticPr fontId="3" type="noConversion"/>
  </si>
  <si>
    <t>流动资产合计</t>
    <phoneticPr fontId="3" type="noConversion"/>
  </si>
  <si>
    <t>35</t>
    <phoneticPr fontId="3" type="noConversion"/>
  </si>
  <si>
    <t>流动负债合计</t>
    <phoneticPr fontId="3" type="noConversion"/>
  </si>
  <si>
    <t>100</t>
    <phoneticPr fontId="3" type="noConversion"/>
  </si>
  <si>
    <t>非流动资产：</t>
    <phoneticPr fontId="3" type="noConversion"/>
  </si>
  <si>
    <t>非流动负债：</t>
    <phoneticPr fontId="3" type="noConversion"/>
  </si>
  <si>
    <t>101</t>
    <phoneticPr fontId="3" type="noConversion"/>
  </si>
  <si>
    <t xml:space="preserve">  可供出售金融资产</t>
    <phoneticPr fontId="3" type="noConversion"/>
  </si>
  <si>
    <t>36</t>
    <phoneticPr fontId="3" type="noConversion"/>
  </si>
  <si>
    <t xml:space="preserve">  长期借款</t>
    <phoneticPr fontId="3" type="noConversion"/>
  </si>
  <si>
    <t xml:space="preserve">  持有至到期投资</t>
    <phoneticPr fontId="3" type="noConversion"/>
  </si>
  <si>
    <t xml:space="preserve">  应付债券</t>
    <phoneticPr fontId="3" type="noConversion"/>
  </si>
  <si>
    <t xml:space="preserve">  长期应收款</t>
    <phoneticPr fontId="3" type="noConversion"/>
  </si>
  <si>
    <t xml:space="preserve">  长期应付款</t>
    <phoneticPr fontId="3" type="noConversion"/>
  </si>
  <si>
    <t xml:space="preserve">  长期股权投资</t>
    <phoneticPr fontId="3" type="noConversion"/>
  </si>
  <si>
    <t xml:space="preserve">  专项应付款</t>
    <phoneticPr fontId="3" type="noConversion"/>
  </si>
  <si>
    <t xml:space="preserve">  固定资产原值</t>
    <phoneticPr fontId="3" type="noConversion"/>
  </si>
  <si>
    <t xml:space="preserve">  递延所得税负债</t>
    <phoneticPr fontId="3" type="noConversion"/>
  </si>
  <si>
    <t>111</t>
    <phoneticPr fontId="3" type="noConversion"/>
  </si>
  <si>
    <t xml:space="preserve">  减：累计折旧</t>
    <phoneticPr fontId="3" type="noConversion"/>
  </si>
  <si>
    <t xml:space="preserve">  其他非流动负债</t>
    <phoneticPr fontId="3" type="noConversion"/>
  </si>
  <si>
    <t xml:space="preserve">  固定资产净值</t>
    <phoneticPr fontId="3" type="noConversion"/>
  </si>
  <si>
    <t>长期负债合计</t>
    <phoneticPr fontId="3" type="noConversion"/>
  </si>
  <si>
    <t xml:space="preserve">  在建工程</t>
    <phoneticPr fontId="3" type="noConversion"/>
  </si>
  <si>
    <t>负债合计</t>
    <phoneticPr fontId="3" type="noConversion"/>
  </si>
  <si>
    <t>125</t>
    <phoneticPr fontId="3" type="noConversion"/>
  </si>
  <si>
    <t xml:space="preserve">  工程物资</t>
    <phoneticPr fontId="3" type="noConversion"/>
  </si>
  <si>
    <t>所有者权益：</t>
    <phoneticPr fontId="3" type="noConversion"/>
  </si>
  <si>
    <t xml:space="preserve">  固定资产清理</t>
    <phoneticPr fontId="3" type="noConversion"/>
  </si>
  <si>
    <t xml:space="preserve">  实收资本</t>
    <phoneticPr fontId="3" type="noConversion"/>
  </si>
  <si>
    <t xml:space="preserve">  无形资产</t>
    <phoneticPr fontId="3" type="noConversion"/>
  </si>
  <si>
    <t xml:space="preserve">  资本公积</t>
    <phoneticPr fontId="3" type="noConversion"/>
  </si>
  <si>
    <t xml:space="preserve">  长期待摊费用</t>
    <phoneticPr fontId="3" type="noConversion"/>
  </si>
  <si>
    <t xml:space="preserve">  递延所得税资产</t>
    <phoneticPr fontId="3" type="noConversion"/>
  </si>
  <si>
    <t xml:space="preserve">  盈余公积</t>
    <phoneticPr fontId="3" type="noConversion"/>
  </si>
  <si>
    <t xml:space="preserve">  其中：法定盈余公积</t>
    <phoneticPr fontId="3" type="noConversion"/>
  </si>
  <si>
    <t xml:space="preserve">        任意盈余公积</t>
    <phoneticPr fontId="3" type="noConversion"/>
  </si>
  <si>
    <t xml:space="preserve">  未分配利润</t>
    <phoneticPr fontId="3" type="noConversion"/>
  </si>
  <si>
    <t xml:space="preserve">  归属于母公司股东权益合计</t>
    <phoneticPr fontId="3" type="noConversion"/>
  </si>
  <si>
    <t>145</t>
    <phoneticPr fontId="3" type="noConversion"/>
  </si>
  <si>
    <t xml:space="preserve">  其他非流动资产</t>
    <phoneticPr fontId="3" type="noConversion"/>
  </si>
  <si>
    <t>58</t>
    <phoneticPr fontId="3" type="noConversion"/>
  </si>
  <si>
    <t xml:space="preserve">  少数股东权益</t>
    <phoneticPr fontId="3" type="noConversion"/>
  </si>
  <si>
    <t>146</t>
    <phoneticPr fontId="3" type="noConversion"/>
  </si>
  <si>
    <t>非流动资产合计</t>
    <phoneticPr fontId="3" type="noConversion"/>
  </si>
  <si>
    <t>59</t>
    <phoneticPr fontId="3" type="noConversion"/>
  </si>
  <si>
    <t>所有者权益合计</t>
    <phoneticPr fontId="3" type="noConversion"/>
  </si>
  <si>
    <t>149</t>
    <phoneticPr fontId="3" type="noConversion"/>
  </si>
  <si>
    <t>资产总计</t>
    <phoneticPr fontId="3" type="noConversion"/>
  </si>
  <si>
    <t>60</t>
    <phoneticPr fontId="3" type="noConversion"/>
  </si>
  <si>
    <t>负债及所有者权益总计</t>
    <phoneticPr fontId="3" type="noConversion"/>
  </si>
  <si>
    <t>150</t>
    <phoneticPr fontId="3" type="noConversion"/>
  </si>
  <si>
    <t>总计</t>
    <phoneticPr fontId="3" type="noConversion"/>
  </si>
  <si>
    <t>调整分录</t>
    <phoneticPr fontId="3" type="noConversion"/>
  </si>
  <si>
    <t>合并</t>
    <phoneticPr fontId="3" type="noConversion"/>
  </si>
  <si>
    <t>借</t>
    <phoneticPr fontId="3" type="noConversion"/>
  </si>
  <si>
    <t>贷</t>
    <phoneticPr fontId="3" type="noConversion"/>
  </si>
  <si>
    <t>流动资产：</t>
    <phoneticPr fontId="3" type="noConversion"/>
  </si>
  <si>
    <t xml:space="preserve">  货币资金</t>
    <phoneticPr fontId="3" type="noConversion"/>
  </si>
  <si>
    <t xml:space="preserve">  应收票据</t>
    <phoneticPr fontId="3" type="noConversion"/>
  </si>
  <si>
    <t xml:space="preserve">  应收账款</t>
    <phoneticPr fontId="3" type="noConversion"/>
  </si>
  <si>
    <t xml:space="preserve">  预付款项</t>
    <phoneticPr fontId="3" type="noConversion"/>
  </si>
  <si>
    <t xml:space="preserve">  应收利息</t>
    <phoneticPr fontId="3" type="noConversion"/>
  </si>
  <si>
    <t xml:space="preserve">  应收股利</t>
    <phoneticPr fontId="3" type="noConversion"/>
  </si>
  <si>
    <t xml:space="preserve">  其他应收款</t>
    <phoneticPr fontId="3" type="noConversion"/>
  </si>
  <si>
    <t xml:space="preserve">  存货</t>
    <phoneticPr fontId="3" type="noConversion"/>
  </si>
  <si>
    <t xml:space="preserve">  一年内到期的非流动资产</t>
    <phoneticPr fontId="3" type="noConversion"/>
  </si>
  <si>
    <t xml:space="preserve">  其他流动资产</t>
    <phoneticPr fontId="3" type="noConversion"/>
  </si>
  <si>
    <t>流动资产合计</t>
    <phoneticPr fontId="3" type="noConversion"/>
  </si>
  <si>
    <t>非流动资产：</t>
    <phoneticPr fontId="3" type="noConversion"/>
  </si>
  <si>
    <t xml:space="preserve">  可供出售金融资产</t>
    <phoneticPr fontId="3" type="noConversion"/>
  </si>
  <si>
    <t xml:space="preserve">  长期应收款</t>
    <phoneticPr fontId="3" type="noConversion"/>
  </si>
  <si>
    <t xml:space="preserve">  长期股权投资</t>
    <phoneticPr fontId="3" type="noConversion"/>
  </si>
  <si>
    <t xml:space="preserve">  固定资产原值</t>
    <phoneticPr fontId="3" type="noConversion"/>
  </si>
  <si>
    <t xml:space="preserve">  减：累计折旧</t>
    <phoneticPr fontId="3" type="noConversion"/>
  </si>
  <si>
    <t xml:space="preserve">  固定资产净值</t>
    <phoneticPr fontId="3" type="noConversion"/>
  </si>
  <si>
    <t xml:space="preserve">  在建工程</t>
    <phoneticPr fontId="3" type="noConversion"/>
  </si>
  <si>
    <t xml:space="preserve">  工程物资</t>
    <phoneticPr fontId="3" type="noConversion"/>
  </si>
  <si>
    <t xml:space="preserve">  固定资产清理</t>
    <phoneticPr fontId="3" type="noConversion"/>
  </si>
  <si>
    <t xml:space="preserve">  无形资产</t>
    <phoneticPr fontId="3" type="noConversion"/>
  </si>
  <si>
    <t xml:space="preserve">  长期待摊费用</t>
    <phoneticPr fontId="3" type="noConversion"/>
  </si>
  <si>
    <t xml:space="preserve">  递延所得税资产</t>
    <phoneticPr fontId="3" type="noConversion"/>
  </si>
  <si>
    <t xml:space="preserve">  其他非流动资产</t>
    <phoneticPr fontId="3" type="noConversion"/>
  </si>
  <si>
    <t>非流动资产合计</t>
    <phoneticPr fontId="3" type="noConversion"/>
  </si>
  <si>
    <t>资产总计</t>
    <phoneticPr fontId="3" type="noConversion"/>
  </si>
  <si>
    <t>流动负债：</t>
    <phoneticPr fontId="3" type="noConversion"/>
  </si>
  <si>
    <t xml:space="preserve">  短期借款</t>
    <phoneticPr fontId="3" type="noConversion"/>
  </si>
  <si>
    <t xml:space="preserve">  应付票据</t>
    <phoneticPr fontId="3" type="noConversion"/>
  </si>
  <si>
    <t xml:space="preserve">  应付账款</t>
    <phoneticPr fontId="3" type="noConversion"/>
  </si>
  <si>
    <t xml:space="preserve">  预收账款</t>
    <phoneticPr fontId="3" type="noConversion"/>
  </si>
  <si>
    <t xml:space="preserve">  应付职工薪酬</t>
    <phoneticPr fontId="3" type="noConversion"/>
  </si>
  <si>
    <t xml:space="preserve">  应交税费</t>
    <phoneticPr fontId="3" type="noConversion"/>
  </si>
  <si>
    <t xml:space="preserve">  应付利息</t>
    <phoneticPr fontId="3" type="noConversion"/>
  </si>
  <si>
    <t xml:space="preserve">  应付股利</t>
    <phoneticPr fontId="3" type="noConversion"/>
  </si>
  <si>
    <t xml:space="preserve">  其他应付款</t>
    <phoneticPr fontId="3" type="noConversion"/>
  </si>
  <si>
    <t xml:space="preserve">  其他流动负债</t>
    <phoneticPr fontId="3" type="noConversion"/>
  </si>
  <si>
    <t>流动负债合计</t>
    <phoneticPr fontId="3" type="noConversion"/>
  </si>
  <si>
    <t>非流动负债：</t>
    <phoneticPr fontId="3" type="noConversion"/>
  </si>
  <si>
    <t xml:space="preserve">  长期借款</t>
    <phoneticPr fontId="3" type="noConversion"/>
  </si>
  <si>
    <t xml:space="preserve">  应付债券</t>
    <phoneticPr fontId="3" type="noConversion"/>
  </si>
  <si>
    <t xml:space="preserve">  长期应付款</t>
    <phoneticPr fontId="3" type="noConversion"/>
  </si>
  <si>
    <t xml:space="preserve">  专项应付款</t>
    <phoneticPr fontId="3" type="noConversion"/>
  </si>
  <si>
    <t xml:space="preserve">  递延所得税负债</t>
    <phoneticPr fontId="3" type="noConversion"/>
  </si>
  <si>
    <t xml:space="preserve">  其他非流动负债</t>
    <phoneticPr fontId="3" type="noConversion"/>
  </si>
  <si>
    <t>长期负债合计</t>
    <phoneticPr fontId="3" type="noConversion"/>
  </si>
  <si>
    <t>负债合计</t>
    <phoneticPr fontId="3" type="noConversion"/>
  </si>
  <si>
    <t>所有者权益：</t>
    <phoneticPr fontId="3" type="noConversion"/>
  </si>
  <si>
    <t xml:space="preserve">  实收资本</t>
    <phoneticPr fontId="3" type="noConversion"/>
  </si>
  <si>
    <t xml:space="preserve">  资本公积</t>
    <phoneticPr fontId="3" type="noConversion"/>
  </si>
  <si>
    <t xml:space="preserve">  盈余公积</t>
    <phoneticPr fontId="3" type="noConversion"/>
  </si>
  <si>
    <t xml:space="preserve">  其中：法定盈余公积</t>
    <phoneticPr fontId="3" type="noConversion"/>
  </si>
  <si>
    <t xml:space="preserve">        任意盈余公积</t>
    <phoneticPr fontId="3" type="noConversion"/>
  </si>
  <si>
    <t xml:space="preserve">  未分配利润</t>
    <phoneticPr fontId="3" type="noConversion"/>
  </si>
  <si>
    <t xml:space="preserve">  归属于母公司股东权益合计</t>
    <phoneticPr fontId="3" type="noConversion"/>
  </si>
  <si>
    <t xml:space="preserve">  少数股东权益</t>
    <phoneticPr fontId="3" type="noConversion"/>
  </si>
  <si>
    <t>所有者权益合计</t>
    <phoneticPr fontId="3" type="noConversion"/>
  </si>
  <si>
    <t>负债及所有者权益总计</t>
    <phoneticPr fontId="3" type="noConversion"/>
  </si>
  <si>
    <t>一、营业总收入</t>
    <phoneticPr fontId="3" type="noConversion"/>
  </si>
  <si>
    <t xml:space="preserve">    其中：主营业务收入</t>
    <phoneticPr fontId="3" type="noConversion"/>
  </si>
  <si>
    <t xml:space="preserve">          其他业务收入</t>
    <phoneticPr fontId="3" type="noConversion"/>
  </si>
  <si>
    <t>二、营业总成本</t>
    <phoneticPr fontId="3" type="noConversion"/>
  </si>
  <si>
    <t xml:space="preserve">    其中：营业成本</t>
    <phoneticPr fontId="3" type="noConversion"/>
  </si>
  <si>
    <t xml:space="preserve">          其中：主营业务成本</t>
    <phoneticPr fontId="3" type="noConversion"/>
  </si>
  <si>
    <t xml:space="preserve">                其他业务成本</t>
    <phoneticPr fontId="3" type="noConversion"/>
  </si>
  <si>
    <t xml:space="preserve">          销售费用</t>
    <phoneticPr fontId="3" type="noConversion"/>
  </si>
  <si>
    <t xml:space="preserve">          管理费用</t>
    <phoneticPr fontId="3" type="noConversion"/>
  </si>
  <si>
    <t xml:space="preserve">          财务费用</t>
    <phoneticPr fontId="3" type="noConversion"/>
  </si>
  <si>
    <t xml:space="preserve">          其中：利息支出</t>
    <phoneticPr fontId="3" type="noConversion"/>
  </si>
  <si>
    <t xml:space="preserve">                利息收入</t>
    <phoneticPr fontId="3" type="noConversion"/>
  </si>
  <si>
    <t xml:space="preserve">                汇兑净损失</t>
    <phoneticPr fontId="3" type="noConversion"/>
  </si>
  <si>
    <t xml:space="preserve">          资产减值损失</t>
    <phoneticPr fontId="3" type="noConversion"/>
  </si>
  <si>
    <t xml:space="preserve">    加：公允价值变动净收益（净损失以“-”号填列）</t>
    <phoneticPr fontId="3" type="noConversion"/>
  </si>
  <si>
    <t xml:space="preserve">        投资收益</t>
    <phoneticPr fontId="3" type="noConversion"/>
  </si>
  <si>
    <t xml:space="preserve">        其中：对联营企业和合营企业的投资收益</t>
    <phoneticPr fontId="3" type="noConversion"/>
  </si>
  <si>
    <t>三、营业利润</t>
    <phoneticPr fontId="3" type="noConversion"/>
  </si>
  <si>
    <t xml:space="preserve">    加：营业外收入</t>
    <phoneticPr fontId="3" type="noConversion"/>
  </si>
  <si>
    <t xml:space="preserve">        其中：非流动资产处置收益</t>
    <phoneticPr fontId="3" type="noConversion"/>
  </si>
  <si>
    <t xml:space="preserve">              非货币性资产交换利得（非货币性交易收益）</t>
    <phoneticPr fontId="3" type="noConversion"/>
  </si>
  <si>
    <t xml:space="preserve">              政府补助（补贴收入）</t>
    <phoneticPr fontId="3" type="noConversion"/>
  </si>
  <si>
    <t xml:space="preserve">    减：营业外支出</t>
    <phoneticPr fontId="3" type="noConversion"/>
  </si>
  <si>
    <t xml:space="preserve">        其中：非流动资产处置损失</t>
    <phoneticPr fontId="3" type="noConversion"/>
  </si>
  <si>
    <t>四、利润总额</t>
    <phoneticPr fontId="3" type="noConversion"/>
  </si>
  <si>
    <t xml:space="preserve">    减：所得税费用</t>
    <phoneticPr fontId="3" type="noConversion"/>
  </si>
  <si>
    <t>五、净利润</t>
    <phoneticPr fontId="3" type="noConversion"/>
  </si>
  <si>
    <t xml:space="preserve">    减：少数股东损益</t>
    <phoneticPr fontId="3" type="noConversion"/>
  </si>
  <si>
    <t>六、归属于母公司所有者的净利润</t>
    <phoneticPr fontId="3" type="noConversion"/>
  </si>
  <si>
    <t xml:space="preserve">  加：年初未分配利润</t>
    <phoneticPr fontId="3" type="noConversion"/>
  </si>
  <si>
    <t xml:space="preserve">      其他转入</t>
    <phoneticPr fontId="3" type="noConversion"/>
  </si>
  <si>
    <t xml:space="preserve">  减：提取法定盈余公积金</t>
    <phoneticPr fontId="3" type="noConversion"/>
  </si>
  <si>
    <t xml:space="preserve">      应付优先股股利</t>
    <phoneticPr fontId="3" type="noConversion"/>
  </si>
  <si>
    <t xml:space="preserve">      提取任意公积金</t>
    <phoneticPr fontId="3" type="noConversion"/>
  </si>
  <si>
    <t xml:space="preserve">      应分配普通股股利</t>
    <phoneticPr fontId="3" type="noConversion"/>
  </si>
  <si>
    <t xml:space="preserve">      应转增股本普通股股利</t>
    <phoneticPr fontId="3" type="noConversion"/>
  </si>
  <si>
    <t>六、未分配利润</t>
    <phoneticPr fontId="3" type="noConversion"/>
  </si>
  <si>
    <t>2010年9月金额</t>
    <phoneticPr fontId="3" type="noConversion"/>
  </si>
  <si>
    <t>b010</t>
  </si>
  <si>
    <t>c012</t>
    <phoneticPr fontId="3" type="noConversion"/>
  </si>
  <si>
    <r>
      <t>c</t>
    </r>
    <r>
      <rPr>
        <sz val="10"/>
        <rFont val="宋体"/>
        <family val="3"/>
        <charset val="134"/>
      </rPr>
      <t>026</t>
    </r>
    <phoneticPr fontId="3" type="noConversion"/>
  </si>
  <si>
    <t>集团公司收到分红</t>
    <phoneticPr fontId="3" type="noConversion"/>
  </si>
  <si>
    <t>c050</t>
    <phoneticPr fontId="3" type="noConversion"/>
  </si>
  <si>
    <t>c049</t>
    <phoneticPr fontId="3" type="noConversion"/>
  </si>
  <si>
    <t>c003</t>
    <phoneticPr fontId="3" type="noConversion"/>
  </si>
  <si>
    <r>
      <t xml:space="preserve"> </t>
    </r>
    <r>
      <rPr>
        <sz val="10"/>
        <rFont val="宋体"/>
        <family val="3"/>
        <charset val="134"/>
      </rPr>
      <t xml:space="preserve">  其中：存货减值准备</t>
    </r>
    <phoneticPr fontId="3" type="noConversion"/>
  </si>
  <si>
    <t xml:space="preserve">    其中：应付工资</t>
  </si>
  <si>
    <t xml:space="preserve">          应付福利费</t>
  </si>
  <si>
    <t xml:space="preserve">          其他</t>
  </si>
  <si>
    <t>A054</t>
  </si>
  <si>
    <r>
      <t>三、本年增减变动金额（减少以“</t>
    </r>
    <r>
      <rPr>
        <sz val="11"/>
        <rFont val="Times New Roman"/>
        <family val="1"/>
      </rPr>
      <t>-</t>
    </r>
    <r>
      <rPr>
        <sz val="11"/>
        <rFont val="宋体"/>
        <family val="3"/>
        <charset val="134"/>
      </rPr>
      <t>”号填列）</t>
    </r>
    <phoneticPr fontId="3" type="noConversion"/>
  </si>
  <si>
    <r>
      <t>a03</t>
    </r>
    <r>
      <rPr>
        <sz val="10"/>
        <rFont val="宋体"/>
        <family val="3"/>
        <charset val="134"/>
      </rPr>
      <t>6</t>
    </r>
    <phoneticPr fontId="3" type="noConversion"/>
  </si>
  <si>
    <t>净利润审核</t>
    <phoneticPr fontId="3" type="noConversion"/>
  </si>
  <si>
    <t>本表设定以显示精度为准，如出现较大差异，请将“少数权益报表数”的比例修正为实际值（即A/B)，而不采用“本期持股比例”表中的数值</t>
    <phoneticPr fontId="3" type="noConversion"/>
  </si>
  <si>
    <t>a035</t>
    <phoneticPr fontId="3" type="noConversion"/>
  </si>
  <si>
    <t>合并所有者权益变动表</t>
    <phoneticPr fontId="3" type="noConversion"/>
  </si>
  <si>
    <t>单位：元</t>
    <phoneticPr fontId="3" type="noConversion"/>
  </si>
  <si>
    <t>单位负责人：                           财务负责人：                            复核：                         制表：</t>
    <phoneticPr fontId="3" type="noConversion"/>
  </si>
  <si>
    <t>单位负责人：                     财务负责人：                       复核：                         制表：</t>
    <phoneticPr fontId="3" type="noConversion"/>
  </si>
  <si>
    <t>单位负责人：                                         财务负责人：                                          复核：                                           制表：</t>
    <phoneticPr fontId="3" type="noConversion"/>
  </si>
  <si>
    <t>编制单位：东方科学仪器进出口集团有限公司                  2013年                       单位编码：                 单位：元</t>
    <phoneticPr fontId="3" type="noConversion"/>
  </si>
  <si>
    <r>
      <t>1</t>
    </r>
    <r>
      <rPr>
        <sz val="9"/>
        <rFont val="宋体"/>
        <family val="3"/>
        <charset val="134"/>
      </rPr>
      <t>、将净利润调节为经营活动现金流量：</t>
    </r>
    <phoneticPr fontId="3" type="noConversion"/>
  </si>
  <si>
    <t>会企04表</t>
    <phoneticPr fontId="3" type="noConversion"/>
  </si>
  <si>
    <t>a036</t>
    <phoneticPr fontId="3" type="noConversion"/>
  </si>
  <si>
    <t>a007</t>
    <phoneticPr fontId="3" type="noConversion"/>
  </si>
  <si>
    <t>2014年</t>
    <phoneticPr fontId="3" type="noConversion"/>
  </si>
  <si>
    <r>
      <t>c</t>
    </r>
    <r>
      <rPr>
        <sz val="10"/>
        <rFont val="宋体"/>
        <family val="3"/>
        <charset val="134"/>
      </rPr>
      <t>003</t>
    </r>
    <phoneticPr fontId="3" type="noConversion"/>
  </si>
  <si>
    <t xml:space="preserve">  以公允价值计量且其变动计入当期损益的金融资产</t>
  </si>
  <si>
    <t>A055</t>
    <phoneticPr fontId="3" type="noConversion"/>
  </si>
  <si>
    <t xml:space="preserve">  持有待售资产</t>
    <phoneticPr fontId="3" type="noConversion"/>
  </si>
  <si>
    <t xml:space="preserve">  以公允价值计量且其变动计入当期损益的金融负债</t>
  </si>
  <si>
    <t>A056</t>
    <phoneticPr fontId="3" type="noConversion"/>
  </si>
  <si>
    <t xml:space="preserve">  持有待售负债</t>
    <phoneticPr fontId="3" type="noConversion"/>
  </si>
  <si>
    <t xml:space="preserve">  其他综合收益</t>
    <phoneticPr fontId="3" type="noConversion"/>
  </si>
  <si>
    <t>其他</t>
    <phoneticPr fontId="3" type="noConversion"/>
  </si>
  <si>
    <t>其他</t>
    <phoneticPr fontId="3" type="noConversion"/>
  </si>
  <si>
    <t>B040</t>
    <phoneticPr fontId="3" type="noConversion"/>
  </si>
  <si>
    <t xml:space="preserve">    归属于母公司所有者的其他综合收益的税后净额</t>
  </si>
  <si>
    <t xml:space="preserve">    （一）以后不能重分类进损益的其他综合收益</t>
  </si>
  <si>
    <t xml:space="preserve">      1.重新计量设定收益计划净负债或净资产的变动</t>
  </si>
  <si>
    <t xml:space="preserve">      2.权益法下在被投资单位不能重分类进损益的其他综合收益中享有的份额</t>
  </si>
  <si>
    <t xml:space="preserve">    （二）以后将重分类进损益的其他综合收益</t>
  </si>
  <si>
    <t xml:space="preserve">      1.权益法下在被投资单位以后将重分类进损益的其他综合收益</t>
  </si>
  <si>
    <t xml:space="preserve">      2.可供出售金融资产公允价值变动损益</t>
  </si>
  <si>
    <t xml:space="preserve">      3.持有至到期投资重分类为可供出售金融资产损益</t>
  </si>
  <si>
    <t xml:space="preserve">      4.现金流量套期损益的有效部分</t>
  </si>
  <si>
    <t xml:space="preserve">      5.外币财务报表折算差额</t>
  </si>
  <si>
    <t xml:space="preserve">    归属于少数股东的其他综合收益的税后净额</t>
  </si>
  <si>
    <t>B041</t>
  </si>
  <si>
    <t>B042</t>
  </si>
  <si>
    <t>B043</t>
  </si>
  <si>
    <t>B044</t>
  </si>
  <si>
    <t>B045</t>
  </si>
  <si>
    <t>B046</t>
  </si>
  <si>
    <t>B047</t>
  </si>
  <si>
    <t>B048</t>
  </si>
  <si>
    <t>B049</t>
  </si>
  <si>
    <t>B050</t>
  </si>
  <si>
    <t xml:space="preserve">  持有待售资产</t>
  </si>
  <si>
    <t>A055</t>
  </si>
  <si>
    <t xml:space="preserve">  持有待售负债</t>
  </si>
  <si>
    <t>A056</t>
  </si>
  <si>
    <t xml:space="preserve">  其他综合收益</t>
  </si>
  <si>
    <t xml:space="preserve">    归属于母公司所有者的净利润</t>
    <phoneticPr fontId="3" type="noConversion"/>
  </si>
  <si>
    <t>六、其他综合收益的税后净额</t>
  </si>
  <si>
    <t>B040</t>
  </si>
  <si>
    <t>七、综合收益总额</t>
  </si>
  <si>
    <t xml:space="preserve">    归属于少数股东的综合收益总额</t>
  </si>
  <si>
    <t xml:space="preserve">  持有至到期投资</t>
  </si>
  <si>
    <t xml:space="preserve">              其他</t>
    <phoneticPr fontId="3" type="noConversion"/>
  </si>
  <si>
    <t>罚款支出</t>
    <phoneticPr fontId="3" type="noConversion"/>
  </si>
  <si>
    <t xml:space="preserve">          营业税金及附加</t>
    <phoneticPr fontId="3" type="noConversion"/>
  </si>
  <si>
    <t xml:space="preserve">              罚款支出</t>
    <phoneticPr fontId="3" type="noConversion"/>
  </si>
  <si>
    <t xml:space="preserve">    归属于母公司所有者的综合收益总额</t>
    <phoneticPr fontId="3" type="noConversion"/>
  </si>
  <si>
    <t xml:space="preserve">  其他综合收益</t>
    <phoneticPr fontId="3" type="noConversion"/>
  </si>
  <si>
    <t>01</t>
  </si>
  <si>
    <t>51</t>
  </si>
  <si>
    <t>52</t>
  </si>
  <si>
    <t>53</t>
  </si>
  <si>
    <t>54</t>
  </si>
  <si>
    <t>55</t>
  </si>
  <si>
    <t>56</t>
  </si>
  <si>
    <t>59</t>
  </si>
  <si>
    <t>60</t>
  </si>
  <si>
    <t>61</t>
  </si>
  <si>
    <t xml:space="preserve">    归属于母公司所有者的综合收益总额</t>
  </si>
  <si>
    <t>八、每股净收益</t>
  </si>
  <si>
    <t>归属于母公司所有者权益</t>
    <phoneticPr fontId="3" type="noConversion"/>
  </si>
  <si>
    <t>小计</t>
    <phoneticPr fontId="3" type="noConversion"/>
  </si>
  <si>
    <t>其他综合收益</t>
    <phoneticPr fontId="3" type="noConversion"/>
  </si>
  <si>
    <t xml:space="preserve">  （一）综合收益总额</t>
  </si>
  <si>
    <r>
      <t xml:space="preserve">    </t>
    </r>
    <r>
      <rPr>
        <sz val="11"/>
        <rFont val="宋体"/>
        <family val="3"/>
        <charset val="134"/>
      </rPr>
      <t>2</t>
    </r>
    <r>
      <rPr>
        <sz val="11"/>
        <rFont val="宋体"/>
        <family val="3"/>
        <charset val="134"/>
      </rPr>
      <t>．其他</t>
    </r>
    <phoneticPr fontId="3" type="noConversion"/>
  </si>
  <si>
    <t>母公司</t>
    <phoneticPr fontId="3" type="noConversion"/>
  </si>
  <si>
    <t>子公司A</t>
    <phoneticPr fontId="3" type="noConversion"/>
  </si>
  <si>
    <t>编制单位：母公司                                              2014年12月31日                                                        单位：元</t>
    <phoneticPr fontId="3" type="noConversion"/>
  </si>
  <si>
    <t>编制单位：母公司</t>
    <phoneticPr fontId="3" type="noConversion"/>
  </si>
  <si>
    <t>境外子公司B</t>
    <phoneticPr fontId="3" type="noConversion"/>
  </si>
  <si>
    <r>
      <t>母-</t>
    </r>
    <r>
      <rPr>
        <sz val="10"/>
        <rFont val="宋体"/>
        <family val="3"/>
        <charset val="134"/>
      </rPr>
      <t>A</t>
    </r>
    <phoneticPr fontId="3" type="noConversion"/>
  </si>
  <si>
    <t>母-B</t>
    <phoneticPr fontId="3" type="noConversion"/>
  </si>
  <si>
    <t>未收分红</t>
    <phoneticPr fontId="3" type="noConversion"/>
  </si>
  <si>
    <t>c025</t>
    <phoneticPr fontId="3" type="noConversion"/>
  </si>
  <si>
    <t>c023</t>
    <phoneticPr fontId="3" type="noConversion"/>
  </si>
  <si>
    <r>
      <t>c</t>
    </r>
    <r>
      <rPr>
        <sz val="10"/>
        <rFont val="宋体"/>
        <family val="3"/>
        <charset val="134"/>
      </rPr>
      <t>007</t>
    </r>
    <phoneticPr fontId="3" type="noConversion"/>
  </si>
  <si>
    <t>母公司借款给A公司收取利息抵消</t>
    <phoneticPr fontId="3" type="noConversion"/>
  </si>
  <si>
    <t>A公司收到母公司的借款</t>
    <phoneticPr fontId="3" type="noConversion"/>
  </si>
  <si>
    <t>A公司归还母公司的借款</t>
    <phoneticPr fontId="3" type="noConversion"/>
  </si>
  <si>
    <t>a008</t>
    <phoneticPr fontId="3" type="noConversion"/>
  </si>
  <si>
    <t>A公司尚未归还的母公司借款</t>
    <phoneticPr fontId="3" type="noConversion"/>
  </si>
  <si>
    <t>c054</t>
    <phoneticPr fontId="3" type="noConversion"/>
  </si>
  <si>
    <t>母-A⑴</t>
    <phoneticPr fontId="3" type="noConversion"/>
  </si>
  <si>
    <t>母-A⑵</t>
    <phoneticPr fontId="3" type="noConversion"/>
  </si>
  <si>
    <t>母-A⑶</t>
    <phoneticPr fontId="3" type="noConversion"/>
  </si>
  <si>
    <t>c007</t>
    <phoneticPr fontId="3" type="noConversion"/>
  </si>
  <si>
    <t xml:space="preserve">    支付的其他与经营活动有关的现金</t>
  </si>
  <si>
    <t xml:space="preserve">    取得借款收到的现金</t>
  </si>
  <si>
    <t xml:space="preserve">    偿还债务支付的现金</t>
  </si>
  <si>
    <t xml:space="preserve">    收到的其他与经营活动有关的现金</t>
  </si>
  <si>
    <t xml:space="preserve">       经营性应收项目的减少（增加以“－”号填列）</t>
  </si>
  <si>
    <t xml:space="preserve">  其他应付款</t>
  </si>
  <si>
    <t xml:space="preserve">  其他应收款</t>
  </si>
  <si>
    <t>房租抵消</t>
    <phoneticPr fontId="3" type="noConversion"/>
  </si>
  <si>
    <t>编制单位：母公司                                2014年12月                               单位：元</t>
    <phoneticPr fontId="3" type="noConversion"/>
  </si>
  <si>
    <t>编制单位：母公司                                      2014年12月                                               单位：元</t>
    <phoneticPr fontId="3" type="noConversion"/>
  </si>
</sst>
</file>

<file path=xl/styles.xml><?xml version="1.0" encoding="utf-8"?>
<styleSheet xmlns="http://schemas.openxmlformats.org/spreadsheetml/2006/main">
  <numFmts count="3">
    <numFmt numFmtId="41" formatCode="_ * #,##0_ ;_ * \-#,##0_ ;_ * &quot;-&quot;_ ;_ @_ "/>
    <numFmt numFmtId="43" formatCode="_ * #,##0.00_ ;_ * \-#,##0.00_ ;_ * &quot;-&quot;??_ ;_ @_ "/>
    <numFmt numFmtId="176" formatCode="0.00_);[Red]\(0.00\)"/>
  </numFmts>
  <fonts count="52">
    <font>
      <sz val="12"/>
      <name val="宋体"/>
      <charset val="134"/>
    </font>
    <font>
      <sz val="12"/>
      <name val="宋体"/>
      <family val="3"/>
      <charset val="134"/>
    </font>
    <font>
      <sz val="10"/>
      <name val="宋体"/>
      <family val="3"/>
      <charset val="134"/>
    </font>
    <font>
      <sz val="9"/>
      <name val="宋体"/>
      <family val="3"/>
      <charset val="134"/>
    </font>
    <font>
      <sz val="8"/>
      <name val="宋体"/>
      <family val="3"/>
      <charset val="134"/>
    </font>
    <font>
      <sz val="10"/>
      <color indexed="10"/>
      <name val="宋体"/>
      <family val="3"/>
      <charset val="134"/>
    </font>
    <font>
      <b/>
      <sz val="10"/>
      <name val="宋体"/>
      <family val="3"/>
      <charset val="134"/>
    </font>
    <font>
      <sz val="10"/>
      <name val="Times New Roman"/>
      <family val="1"/>
    </font>
    <font>
      <sz val="10"/>
      <color indexed="57"/>
      <name val="宋体"/>
      <family val="3"/>
      <charset val="134"/>
    </font>
    <font>
      <sz val="22"/>
      <name val="华文行楷"/>
      <family val="3"/>
      <charset val="134"/>
    </font>
    <font>
      <sz val="12"/>
      <name val="黑体"/>
      <family val="3"/>
      <charset val="134"/>
    </font>
    <font>
      <b/>
      <sz val="10"/>
      <color indexed="10"/>
      <name val="宋体"/>
      <family val="3"/>
      <charset val="134"/>
    </font>
    <font>
      <b/>
      <sz val="12"/>
      <color indexed="10"/>
      <name val="宋体"/>
      <family val="3"/>
      <charset val="134"/>
    </font>
    <font>
      <sz val="11"/>
      <color indexed="8"/>
      <name val="宋体"/>
      <family val="3"/>
      <charset val="134"/>
    </font>
    <font>
      <sz val="11"/>
      <color indexed="9"/>
      <name val="宋体"/>
      <family val="3"/>
      <charset val="134"/>
    </font>
    <font>
      <sz val="12"/>
      <color indexed="9"/>
      <name val="宋体"/>
      <family val="3"/>
      <charset val="134"/>
    </font>
    <font>
      <sz val="12"/>
      <color indexed="8"/>
      <name val="宋体"/>
      <family val="3"/>
      <charset val="134"/>
    </font>
    <font>
      <sz val="12"/>
      <name val="楷体"/>
      <family val="3"/>
      <charset val="134"/>
    </font>
    <font>
      <b/>
      <sz val="18"/>
      <color indexed="56"/>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b/>
      <sz val="18"/>
      <color indexed="62"/>
      <name val="宋体"/>
      <family val="3"/>
      <charset val="134"/>
    </font>
    <font>
      <sz val="11"/>
      <color indexed="20"/>
      <name val="宋体"/>
      <family val="3"/>
      <charset val="134"/>
    </font>
    <font>
      <sz val="10"/>
      <name val="Arial"/>
      <family val="2"/>
    </font>
    <font>
      <sz val="11"/>
      <color indexed="17"/>
      <name val="宋体"/>
      <family val="3"/>
      <charset val="134"/>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2"/>
      <name val="楷体_GB2312"/>
      <family val="3"/>
      <charset val="134"/>
    </font>
    <font>
      <b/>
      <sz val="12"/>
      <color indexed="8"/>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
      <sz val="11"/>
      <name val="宋体"/>
      <family val="3"/>
      <charset val="134"/>
    </font>
    <font>
      <sz val="10"/>
      <name val="宋体"/>
      <family val="3"/>
      <charset val="134"/>
    </font>
    <font>
      <sz val="10"/>
      <name val="宋体"/>
      <family val="3"/>
      <charset val="134"/>
    </font>
    <font>
      <sz val="10"/>
      <name val="宋体"/>
      <family val="3"/>
      <charset val="134"/>
    </font>
    <font>
      <sz val="11"/>
      <name val="宋体"/>
      <family val="3"/>
      <charset val="134"/>
    </font>
    <font>
      <sz val="11"/>
      <name val="Times New Roman"/>
      <family val="1"/>
    </font>
    <font>
      <b/>
      <sz val="11"/>
      <color indexed="10"/>
      <name val="宋体"/>
      <family val="3"/>
      <charset val="134"/>
    </font>
    <font>
      <sz val="11"/>
      <name val="宋体"/>
      <family val="3"/>
      <charset val="134"/>
    </font>
    <font>
      <sz val="10"/>
      <name val="宋体"/>
      <family val="3"/>
      <charset val="134"/>
    </font>
    <font>
      <sz val="24"/>
      <name val="华文行楷"/>
      <family val="3"/>
      <charset val="134"/>
    </font>
    <font>
      <sz val="9"/>
      <name val="华文行楷"/>
      <family val="3"/>
      <charset val="134"/>
    </font>
    <font>
      <b/>
      <sz val="9"/>
      <name val="宋体"/>
      <family val="3"/>
      <charset val="134"/>
    </font>
    <font>
      <b/>
      <sz val="9"/>
      <color indexed="10"/>
      <name val="宋体"/>
      <family val="3"/>
      <charset val="134"/>
    </font>
    <font>
      <sz val="9"/>
      <name val="Times New Roman"/>
      <family val="1"/>
    </font>
    <font>
      <sz val="10"/>
      <color rgb="FFFF0000"/>
      <name val="宋体"/>
      <family val="3"/>
      <charset val="134"/>
    </font>
  </fonts>
  <fills count="4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47"/>
        <bgColor indexed="64"/>
      </patternFill>
    </fill>
    <fill>
      <patternFill patternType="solid">
        <fgColor indexed="43"/>
        <bgColor indexed="64"/>
      </patternFill>
    </fill>
    <fill>
      <patternFill patternType="solid">
        <fgColor indexed="51"/>
        <bgColor indexed="64"/>
      </patternFill>
    </fill>
    <fill>
      <patternFill patternType="solid">
        <fgColor indexed="42"/>
        <bgColor indexed="64"/>
      </patternFill>
    </fill>
    <fill>
      <patternFill patternType="solid">
        <fgColor indexed="41"/>
        <bgColor indexed="64"/>
      </patternFill>
    </fill>
    <fill>
      <patternFill patternType="solid">
        <fgColor rgb="FFCCFFCC"/>
        <bgColor indexed="64"/>
      </patternFill>
    </fill>
    <fill>
      <patternFill patternType="solid">
        <fgColor theme="8" tint="0.79998168889431442"/>
        <bgColor indexed="64"/>
      </patternFill>
    </fill>
    <fill>
      <patternFill patternType="solid">
        <fgColor rgb="FFFFCC99"/>
        <bgColor indexed="64"/>
      </patternFill>
    </fill>
  </fills>
  <borders count="37">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thin">
        <color indexed="64"/>
      </top>
      <bottom style="hair">
        <color indexed="64"/>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top style="hair">
        <color indexed="64"/>
      </top>
      <bottom style="thin">
        <color indexed="64"/>
      </bottom>
      <diagonal/>
    </border>
    <border>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style="hair">
        <color indexed="64"/>
      </bottom>
      <diagonal/>
    </border>
  </borders>
  <cellStyleXfs count="89">
    <xf numFmtId="0" fontId="0"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5"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5" fillId="21"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6" fillId="25" borderId="0" applyNumberFormat="0" applyBorder="0" applyAlignment="0" applyProtection="0"/>
    <xf numFmtId="0" fontId="16" fillId="17" borderId="0" applyNumberFormat="0" applyBorder="0" applyAlignment="0" applyProtection="0"/>
    <xf numFmtId="0" fontId="15" fillId="18" borderId="0" applyNumberFormat="0" applyBorder="0" applyAlignment="0" applyProtection="0"/>
    <xf numFmtId="0" fontId="15" fillId="26" borderId="0" applyNumberFormat="0" applyBorder="0" applyAlignment="0" applyProtection="0"/>
    <xf numFmtId="0" fontId="16" fillId="20" borderId="0" applyNumberFormat="0" applyBorder="0" applyAlignment="0" applyProtection="0"/>
    <xf numFmtId="0" fontId="16" fillId="27" borderId="0" applyNumberFormat="0" applyBorder="0" applyAlignment="0" applyProtection="0"/>
    <xf numFmtId="0" fontId="15" fillId="27" borderId="0" applyNumberFormat="0" applyBorder="0" applyAlignment="0" applyProtection="0"/>
    <xf numFmtId="0" fontId="17"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8" fillId="0" borderId="0" applyNumberFormat="0" applyFill="0" applyBorder="0" applyAlignment="0" applyProtection="0">
      <alignment vertical="center"/>
    </xf>
    <xf numFmtId="0" fontId="19" fillId="0" borderId="1" applyNumberFormat="0" applyFill="0" applyAlignment="0" applyProtection="0">
      <alignment vertical="center"/>
    </xf>
    <xf numFmtId="0" fontId="20" fillId="0" borderId="2" applyNumberFormat="0" applyFill="0" applyAlignment="0" applyProtection="0">
      <alignment vertical="center"/>
    </xf>
    <xf numFmtId="0" fontId="21" fillId="0" borderId="3" applyNumberFormat="0" applyFill="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xf numFmtId="0" fontId="23" fillId="3" borderId="0" applyNumberFormat="0" applyBorder="0" applyAlignment="0" applyProtection="0">
      <alignment vertical="center"/>
    </xf>
    <xf numFmtId="0" fontId="1" fillId="0" borderId="0"/>
    <xf numFmtId="0" fontId="1" fillId="0" borderId="0"/>
    <xf numFmtId="0" fontId="24" fillId="0" borderId="0"/>
    <xf numFmtId="0" fontId="1" fillId="0" borderId="0"/>
    <xf numFmtId="0" fontId="1" fillId="0" borderId="0"/>
    <xf numFmtId="0" fontId="1" fillId="0" borderId="0">
      <alignment vertical="top"/>
      <protection locked="0"/>
    </xf>
    <xf numFmtId="0" fontId="25" fillId="4" borderId="0" applyNumberFormat="0" applyBorder="0" applyAlignment="0" applyProtection="0">
      <alignment vertical="center"/>
    </xf>
    <xf numFmtId="0" fontId="26" fillId="0" borderId="4" applyNumberFormat="0" applyFill="0" applyAlignment="0" applyProtection="0">
      <alignment vertical="center"/>
    </xf>
    <xf numFmtId="0" fontId="27" fillId="28" borderId="5" applyNumberFormat="0" applyAlignment="0" applyProtection="0">
      <alignment vertical="center"/>
    </xf>
    <xf numFmtId="0" fontId="28" fillId="29" borderId="6" applyNumberForma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7" applyNumberFormat="0" applyFill="0" applyAlignment="0" applyProtection="0">
      <alignment vertical="center"/>
    </xf>
    <xf numFmtId="0" fontId="1" fillId="0" borderId="0"/>
    <xf numFmtId="41" fontId="1" fillId="0" borderId="0" applyFont="0" applyFill="0" applyBorder="0" applyAlignment="0" applyProtection="0"/>
    <xf numFmtId="43" fontId="1" fillId="0" borderId="0" applyFont="0" applyFill="0" applyBorder="0" applyAlignment="0" applyProtection="0"/>
    <xf numFmtId="41"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alignmen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2" borderId="0" applyNumberFormat="0" applyBorder="0" applyAlignment="0" applyProtection="0"/>
    <xf numFmtId="0" fontId="14" fillId="33" borderId="0" applyNumberFormat="0" applyBorder="0" applyAlignment="0" applyProtection="0">
      <alignment vertical="center"/>
    </xf>
    <xf numFmtId="0" fontId="14" fillId="34" borderId="0" applyNumberFormat="0" applyBorder="0" applyAlignment="0" applyProtection="0">
      <alignment vertical="center"/>
    </xf>
    <xf numFmtId="0" fontId="14" fillId="35"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36" borderId="0" applyNumberFormat="0" applyBorder="0" applyAlignment="0" applyProtection="0">
      <alignment vertical="center"/>
    </xf>
    <xf numFmtId="0" fontId="34" fillId="37" borderId="0" applyNumberFormat="0" applyBorder="0" applyAlignment="0" applyProtection="0">
      <alignment vertical="center"/>
    </xf>
    <xf numFmtId="0" fontId="35" fillId="28" borderId="8" applyNumberFormat="0" applyAlignment="0" applyProtection="0">
      <alignment vertical="center"/>
    </xf>
    <xf numFmtId="0" fontId="36" fillId="7" borderId="5" applyNumberFormat="0" applyAlignment="0" applyProtection="0">
      <alignment vertical="center"/>
    </xf>
    <xf numFmtId="0" fontId="1" fillId="38" borderId="9" applyNumberFormat="0" applyFont="0" applyAlignment="0" applyProtection="0">
      <alignment vertical="center"/>
    </xf>
  </cellStyleXfs>
  <cellXfs count="256">
    <xf numFmtId="0" fontId="0" fillId="0" borderId="0" xfId="0">
      <alignment vertical="center"/>
    </xf>
    <xf numFmtId="0" fontId="2" fillId="0" borderId="10" xfId="0" applyFont="1" applyBorder="1" applyAlignment="1" applyProtection="1">
      <alignment horizontal="center" vertical="center"/>
      <protection hidden="1"/>
    </xf>
    <xf numFmtId="49" fontId="2" fillId="0" borderId="11" xfId="0" applyNumberFormat="1" applyFont="1" applyBorder="1" applyAlignment="1" applyProtection="1">
      <alignment horizontal="center" vertical="center"/>
      <protection hidden="1"/>
    </xf>
    <xf numFmtId="0" fontId="2" fillId="0" borderId="12" xfId="0" applyFont="1" applyBorder="1" applyAlignment="1" applyProtection="1">
      <alignment vertical="center"/>
      <protection hidden="1"/>
    </xf>
    <xf numFmtId="49" fontId="2" fillId="0" borderId="13" xfId="0" applyNumberFormat="1" applyFont="1" applyBorder="1" applyAlignment="1" applyProtection="1">
      <alignment horizontal="center"/>
      <protection hidden="1"/>
    </xf>
    <xf numFmtId="0" fontId="2" fillId="0" borderId="12" xfId="0" applyFont="1" applyBorder="1" applyProtection="1">
      <alignment vertical="center"/>
      <protection hidden="1"/>
    </xf>
    <xf numFmtId="43" fontId="2" fillId="0" borderId="0" xfId="0" applyNumberFormat="1" applyFont="1">
      <alignment vertical="center"/>
    </xf>
    <xf numFmtId="49" fontId="2" fillId="0" borderId="10" xfId="0" applyNumberFormat="1" applyFont="1" applyBorder="1" applyAlignment="1" applyProtection="1">
      <alignment horizontal="center" vertical="center"/>
      <protection hidden="1"/>
    </xf>
    <xf numFmtId="49" fontId="2" fillId="0" borderId="12" xfId="0" applyNumberFormat="1" applyFont="1" applyBorder="1" applyAlignment="1" applyProtection="1">
      <alignment vertical="center"/>
      <protection hidden="1"/>
    </xf>
    <xf numFmtId="49" fontId="2" fillId="0" borderId="12" xfId="0" applyNumberFormat="1" applyFont="1" applyBorder="1" applyAlignment="1" applyProtection="1">
      <alignment horizontal="left" vertical="center"/>
      <protection hidden="1"/>
    </xf>
    <xf numFmtId="49" fontId="2" fillId="0" borderId="12" xfId="0" applyNumberFormat="1" applyFont="1" applyBorder="1" applyProtection="1">
      <alignment vertical="center"/>
      <protection hidden="1"/>
    </xf>
    <xf numFmtId="49" fontId="2" fillId="0" borderId="0" xfId="0" applyNumberFormat="1" applyFont="1">
      <alignment vertical="center"/>
    </xf>
    <xf numFmtId="0" fontId="2" fillId="0" borderId="11" xfId="0" applyFont="1" applyBorder="1" applyAlignment="1" applyProtection="1">
      <alignment horizontal="center" vertical="center"/>
      <protection hidden="1"/>
    </xf>
    <xf numFmtId="0" fontId="2" fillId="0" borderId="13" xfId="0" applyFont="1" applyBorder="1" applyAlignment="1" applyProtection="1">
      <alignment vertical="center"/>
      <protection hidden="1"/>
    </xf>
    <xf numFmtId="0" fontId="2" fillId="0" borderId="10" xfId="0" applyFont="1" applyBorder="1" applyAlignment="1" applyProtection="1">
      <alignment horizontal="center"/>
      <protection hidden="1"/>
    </xf>
    <xf numFmtId="49" fontId="2" fillId="0" borderId="11" xfId="0" applyNumberFormat="1" applyFont="1" applyBorder="1" applyAlignment="1" applyProtection="1">
      <alignment horizontal="center"/>
      <protection hidden="1"/>
    </xf>
    <xf numFmtId="0" fontId="2" fillId="0" borderId="0" xfId="0" applyFont="1" applyFill="1" applyBorder="1" applyAlignment="1">
      <alignment horizontal="left" vertical="center" wrapText="1"/>
    </xf>
    <xf numFmtId="49" fontId="2" fillId="0" borderId="0" xfId="0" applyNumberFormat="1" applyFont="1" applyAlignment="1">
      <alignment horizontal="center" vertical="center"/>
    </xf>
    <xf numFmtId="43" fontId="2" fillId="0" borderId="0" xfId="0" applyNumberFormat="1" applyFont="1" applyAlignment="1">
      <alignment horizontal="center" vertical="center"/>
    </xf>
    <xf numFmtId="49" fontId="5" fillId="0" borderId="0" xfId="0" applyNumberFormat="1" applyFont="1">
      <alignment vertical="center"/>
    </xf>
    <xf numFmtId="43" fontId="5" fillId="0" borderId="0" xfId="0" applyNumberFormat="1" applyFont="1">
      <alignment vertical="center"/>
    </xf>
    <xf numFmtId="0" fontId="6" fillId="0" borderId="12" xfId="0" applyFont="1" applyBorder="1" applyAlignment="1" applyProtection="1">
      <alignment vertical="center"/>
      <protection hidden="1"/>
    </xf>
    <xf numFmtId="49" fontId="2" fillId="0" borderId="13" xfId="0" applyNumberFormat="1" applyFont="1" applyBorder="1" applyAlignment="1" applyProtection="1">
      <alignment horizontal="center" vertical="center"/>
      <protection hidden="1"/>
    </xf>
    <xf numFmtId="49" fontId="2" fillId="0" borderId="14" xfId="0" applyNumberFormat="1" applyFont="1" applyBorder="1" applyAlignment="1" applyProtection="1">
      <alignment horizontal="center" vertical="center"/>
      <protection hidden="1"/>
    </xf>
    <xf numFmtId="49" fontId="2" fillId="39" borderId="12" xfId="0" applyNumberFormat="1" applyFont="1" applyFill="1" applyBorder="1" applyAlignment="1" applyProtection="1">
      <alignment horizontal="center" vertical="center"/>
      <protection hidden="1"/>
    </xf>
    <xf numFmtId="43" fontId="2" fillId="39" borderId="0" xfId="0" applyNumberFormat="1" applyFont="1" applyFill="1">
      <alignment vertical="center"/>
    </xf>
    <xf numFmtId="43" fontId="2" fillId="40" borderId="0" xfId="0" applyNumberFormat="1" applyFont="1" applyFill="1">
      <alignment vertical="center"/>
    </xf>
    <xf numFmtId="0" fontId="2" fillId="40" borderId="13" xfId="0" applyFont="1" applyFill="1" applyBorder="1" applyAlignment="1" applyProtection="1">
      <alignment horizontal="center" vertical="center"/>
      <protection hidden="1"/>
    </xf>
    <xf numFmtId="49" fontId="2" fillId="41" borderId="15" xfId="0" applyNumberFormat="1" applyFont="1" applyFill="1" applyBorder="1" applyAlignment="1" applyProtection="1">
      <alignment horizontal="center" vertical="center"/>
      <protection hidden="1"/>
    </xf>
    <xf numFmtId="43" fontId="2" fillId="41" borderId="0" xfId="0" applyNumberFormat="1" applyFont="1" applyFill="1">
      <alignment vertical="center"/>
    </xf>
    <xf numFmtId="0" fontId="2" fillId="39" borderId="13" xfId="0" applyFont="1" applyFill="1" applyBorder="1" applyAlignment="1" applyProtection="1">
      <alignment horizontal="center" vertical="center"/>
      <protection hidden="1"/>
    </xf>
    <xf numFmtId="0" fontId="2" fillId="41" borderId="16" xfId="0" applyFont="1" applyFill="1" applyBorder="1" applyAlignment="1" applyProtection="1">
      <alignment horizontal="center" vertical="center"/>
      <protection hidden="1"/>
    </xf>
    <xf numFmtId="0" fontId="2" fillId="40" borderId="12" xfId="0" applyFont="1" applyFill="1" applyBorder="1" applyProtection="1">
      <alignment vertical="center"/>
      <protection hidden="1"/>
    </xf>
    <xf numFmtId="0" fontId="2" fillId="39" borderId="12" xfId="0" applyFont="1" applyFill="1" applyBorder="1" applyProtection="1">
      <alignment vertical="center"/>
      <protection hidden="1"/>
    </xf>
    <xf numFmtId="0" fontId="2" fillId="39" borderId="0" xfId="0" applyFont="1" applyFill="1" applyBorder="1" applyAlignment="1" applyProtection="1">
      <alignment horizontal="left" vertical="center" wrapText="1"/>
    </xf>
    <xf numFmtId="0" fontId="2" fillId="40" borderId="12" xfId="0" applyFont="1" applyFill="1" applyBorder="1" applyAlignment="1" applyProtection="1">
      <alignment horizontal="center" vertical="center"/>
      <protection hidden="1"/>
    </xf>
    <xf numFmtId="49" fontId="2" fillId="40" borderId="13" xfId="0" applyNumberFormat="1" applyFont="1" applyFill="1" applyBorder="1" applyAlignment="1" applyProtection="1">
      <alignment horizontal="center" vertical="center"/>
      <protection hidden="1"/>
    </xf>
    <xf numFmtId="0" fontId="2" fillId="39" borderId="12" xfId="0" applyFont="1" applyFill="1" applyBorder="1" applyAlignment="1" applyProtection="1">
      <alignment vertical="center"/>
      <protection hidden="1"/>
    </xf>
    <xf numFmtId="49" fontId="2" fillId="39" borderId="13" xfId="0" applyNumberFormat="1" applyFont="1" applyFill="1" applyBorder="1" applyAlignment="1" applyProtection="1">
      <alignment horizontal="center" vertical="center"/>
      <protection hidden="1"/>
    </xf>
    <xf numFmtId="0" fontId="2" fillId="40" borderId="17" xfId="0" applyFont="1" applyFill="1" applyBorder="1" applyAlignment="1" applyProtection="1">
      <alignment horizontal="center" vertical="center"/>
      <protection hidden="1"/>
    </xf>
    <xf numFmtId="49" fontId="2" fillId="40" borderId="14" xfId="0" applyNumberFormat="1" applyFont="1" applyFill="1" applyBorder="1" applyAlignment="1" applyProtection="1">
      <alignment horizontal="center" vertical="center"/>
      <protection hidden="1"/>
    </xf>
    <xf numFmtId="0" fontId="6" fillId="41" borderId="17" xfId="0" applyFont="1" applyFill="1" applyBorder="1" applyAlignment="1" applyProtection="1">
      <alignment vertical="center"/>
      <protection hidden="1"/>
    </xf>
    <xf numFmtId="49" fontId="2" fillId="41" borderId="14" xfId="0" applyNumberFormat="1" applyFont="1" applyFill="1" applyBorder="1" applyAlignment="1" applyProtection="1">
      <alignment horizontal="center" vertical="center"/>
      <protection hidden="1"/>
    </xf>
    <xf numFmtId="0" fontId="7" fillId="0" borderId="12" xfId="0" applyFont="1" applyBorder="1" applyAlignment="1" applyProtection="1">
      <alignment vertical="center"/>
      <protection hidden="1"/>
    </xf>
    <xf numFmtId="49" fontId="2" fillId="42" borderId="12" xfId="0" applyNumberFormat="1" applyFont="1" applyFill="1" applyBorder="1" applyProtection="1">
      <alignment vertical="center"/>
      <protection hidden="1"/>
    </xf>
    <xf numFmtId="43" fontId="2" fillId="42" borderId="0" xfId="0" applyNumberFormat="1" applyFont="1" applyFill="1">
      <alignment vertical="center"/>
    </xf>
    <xf numFmtId="0" fontId="2" fillId="42" borderId="13" xfId="0" applyFont="1" applyFill="1" applyBorder="1" applyAlignment="1" applyProtection="1">
      <alignment vertical="center"/>
      <protection hidden="1"/>
    </xf>
    <xf numFmtId="0" fontId="6" fillId="41" borderId="15" xfId="0" applyFont="1" applyFill="1" applyBorder="1" applyAlignment="1" applyProtection="1">
      <alignment vertical="center"/>
      <protection hidden="1"/>
    </xf>
    <xf numFmtId="49" fontId="2" fillId="41" borderId="16" xfId="0" applyNumberFormat="1" applyFont="1" applyFill="1" applyBorder="1" applyAlignment="1" applyProtection="1">
      <alignment horizontal="center" vertical="center"/>
      <protection hidden="1"/>
    </xf>
    <xf numFmtId="0" fontId="2" fillId="42" borderId="12" xfId="0" applyFont="1" applyFill="1" applyBorder="1" applyAlignment="1" applyProtection="1">
      <alignment vertical="center"/>
      <protection hidden="1"/>
    </xf>
    <xf numFmtId="49" fontId="2" fillId="42" borderId="13" xfId="0" applyNumberFormat="1" applyFont="1" applyFill="1" applyBorder="1" applyAlignment="1" applyProtection="1">
      <alignment horizontal="center" vertical="center"/>
      <protection hidden="1"/>
    </xf>
    <xf numFmtId="0" fontId="2" fillId="40" borderId="15" xfId="0" applyFont="1" applyFill="1" applyBorder="1" applyAlignment="1" applyProtection="1">
      <alignment vertical="center"/>
      <protection hidden="1"/>
    </xf>
    <xf numFmtId="49" fontId="2" fillId="0" borderId="13" xfId="0" applyNumberFormat="1" applyFont="1" applyFill="1" applyBorder="1" applyAlignment="1" applyProtection="1">
      <alignment horizontal="center"/>
      <protection hidden="1"/>
    </xf>
    <xf numFmtId="49" fontId="2" fillId="0" borderId="13" xfId="0" applyNumberFormat="1" applyFont="1" applyFill="1" applyBorder="1" applyAlignment="1" applyProtection="1">
      <alignment horizontal="center" vertical="center"/>
      <protection hidden="1"/>
    </xf>
    <xf numFmtId="0" fontId="6" fillId="0" borderId="0" xfId="0" applyFont="1" applyFill="1" applyBorder="1" applyAlignment="1">
      <alignment horizontal="center" vertical="center" wrapText="1"/>
    </xf>
    <xf numFmtId="0" fontId="2" fillId="0" borderId="0" xfId="0" applyFont="1">
      <alignment vertical="center"/>
    </xf>
    <xf numFmtId="0" fontId="2" fillId="0" borderId="0" xfId="0" applyFont="1" applyAlignment="1">
      <alignment horizontal="center" vertical="center"/>
    </xf>
    <xf numFmtId="0" fontId="5" fillId="0" borderId="0" xfId="0" applyFont="1">
      <alignment vertical="center"/>
    </xf>
    <xf numFmtId="43" fontId="8" fillId="0" borderId="0" xfId="0" applyNumberFormat="1" applyFont="1">
      <alignment vertical="center"/>
    </xf>
    <xf numFmtId="0" fontId="2" fillId="0" borderId="0" xfId="0" applyFont="1" applyAlignment="1" applyProtection="1">
      <alignment vertical="center" shrinkToFit="1"/>
      <protection locked="0"/>
    </xf>
    <xf numFmtId="43" fontId="2" fillId="0" borderId="0" xfId="0" applyNumberFormat="1" applyFont="1" applyFill="1">
      <alignment vertical="center"/>
    </xf>
    <xf numFmtId="43" fontId="2" fillId="0" borderId="0" xfId="0" applyNumberFormat="1" applyFont="1" applyBorder="1" applyProtection="1">
      <alignment vertical="center"/>
    </xf>
    <xf numFmtId="0" fontId="2" fillId="0" borderId="0" xfId="0" applyFont="1" applyBorder="1" applyProtection="1">
      <alignment vertical="center"/>
    </xf>
    <xf numFmtId="0" fontId="2" fillId="0" borderId="0" xfId="0" applyFont="1" applyAlignment="1" applyProtection="1">
      <alignment horizontal="right"/>
      <protection hidden="1"/>
    </xf>
    <xf numFmtId="0" fontId="0" fillId="0" borderId="0" xfId="0" applyAlignment="1">
      <alignment horizontal="center"/>
    </xf>
    <xf numFmtId="0" fontId="2" fillId="0" borderId="18" xfId="0" applyFont="1" applyBorder="1" applyAlignment="1" applyProtection="1">
      <alignment horizontal="center" vertical="center"/>
      <protection hidden="1"/>
    </xf>
    <xf numFmtId="0" fontId="2" fillId="0" borderId="12" xfId="0" applyFont="1" applyBorder="1" applyAlignment="1" applyProtection="1">
      <alignment horizontal="center" vertical="center"/>
      <protection hidden="1"/>
    </xf>
    <xf numFmtId="0" fontId="2" fillId="0" borderId="13" xfId="0" applyFont="1" applyBorder="1" applyAlignment="1" applyProtection="1">
      <alignment horizontal="center" vertical="center"/>
      <protection hidden="1"/>
    </xf>
    <xf numFmtId="0" fontId="2" fillId="0" borderId="12" xfId="0" applyFont="1" applyBorder="1" applyAlignment="1" applyProtection="1">
      <alignment horizontal="left" vertical="center"/>
      <protection hidden="1"/>
    </xf>
    <xf numFmtId="0" fontId="2" fillId="0" borderId="15" xfId="0" applyFont="1" applyBorder="1" applyAlignment="1" applyProtection="1">
      <alignment horizontal="center" vertical="center"/>
      <protection hidden="1"/>
    </xf>
    <xf numFmtId="49" fontId="2" fillId="0" borderId="16" xfId="0" applyNumberFormat="1" applyFont="1" applyBorder="1" applyAlignment="1" applyProtection="1">
      <alignment horizontal="center"/>
      <protection hidden="1"/>
    </xf>
    <xf numFmtId="0" fontId="2" fillId="0" borderId="16" xfId="0" applyFont="1" applyBorder="1" applyAlignment="1" applyProtection="1">
      <alignment horizontal="center" vertical="center"/>
      <protection hidden="1"/>
    </xf>
    <xf numFmtId="0" fontId="2" fillId="0" borderId="19" xfId="0" applyFont="1" applyBorder="1" applyAlignment="1" applyProtection="1">
      <alignment horizontal="left"/>
      <protection locked="0"/>
    </xf>
    <xf numFmtId="0" fontId="1" fillId="0" borderId="0" xfId="0" applyFont="1">
      <alignment vertical="center"/>
    </xf>
    <xf numFmtId="49" fontId="1" fillId="0" borderId="0" xfId="0" applyNumberFormat="1" applyFont="1" applyAlignment="1">
      <alignment horizontal="center"/>
    </xf>
    <xf numFmtId="10" fontId="1" fillId="0" borderId="0" xfId="0" applyNumberFormat="1" applyFont="1">
      <alignment vertical="center"/>
    </xf>
    <xf numFmtId="49" fontId="0" fillId="0" borderId="0" xfId="0" applyNumberFormat="1" applyAlignment="1">
      <alignment horizontal="center"/>
    </xf>
    <xf numFmtId="0" fontId="1" fillId="0" borderId="0" xfId="0" applyFont="1" applyFill="1" applyBorder="1">
      <alignment vertical="center"/>
    </xf>
    <xf numFmtId="0" fontId="10" fillId="0" borderId="0" xfId="0" applyFont="1" applyProtection="1">
      <alignment vertical="center"/>
      <protection locked="0"/>
    </xf>
    <xf numFmtId="0" fontId="0" fillId="0" borderId="0" xfId="0" applyProtection="1">
      <alignment vertical="center"/>
      <protection hidden="1"/>
    </xf>
    <xf numFmtId="49" fontId="0" fillId="0" borderId="0" xfId="0" applyNumberFormat="1" applyProtection="1">
      <alignment vertical="center"/>
      <protection hidden="1"/>
    </xf>
    <xf numFmtId="0" fontId="0" fillId="0" borderId="0" xfId="0" applyProtection="1">
      <alignment vertical="center"/>
      <protection locked="0"/>
    </xf>
    <xf numFmtId="0" fontId="2" fillId="0" borderId="0" xfId="0" applyFont="1" applyProtection="1">
      <alignment vertical="center"/>
      <protection locked="0"/>
    </xf>
    <xf numFmtId="0" fontId="2" fillId="0" borderId="18" xfId="0" applyFont="1" applyBorder="1" applyAlignment="1" applyProtection="1">
      <alignment horizontal="center"/>
      <protection hidden="1"/>
    </xf>
    <xf numFmtId="43" fontId="2" fillId="0" borderId="13" xfId="0" applyNumberFormat="1" applyFont="1" applyBorder="1" applyAlignment="1" applyProtection="1">
      <alignment horizontal="right"/>
      <protection locked="0"/>
    </xf>
    <xf numFmtId="43" fontId="2" fillId="0" borderId="20" xfId="0" applyNumberFormat="1" applyFont="1" applyBorder="1" applyAlignment="1" applyProtection="1">
      <alignment horizontal="right"/>
      <protection locked="0"/>
    </xf>
    <xf numFmtId="43" fontId="2" fillId="0" borderId="13" xfId="0" applyNumberFormat="1" applyFont="1" applyBorder="1" applyAlignment="1" applyProtection="1">
      <alignment horizontal="right"/>
      <protection hidden="1"/>
    </xf>
    <xf numFmtId="43" fontId="2" fillId="0" borderId="20" xfId="0" applyNumberFormat="1" applyFont="1" applyBorder="1" applyAlignment="1" applyProtection="1">
      <alignment horizontal="right"/>
      <protection hidden="1"/>
    </xf>
    <xf numFmtId="0" fontId="2" fillId="0" borderId="15" xfId="0" applyFont="1" applyBorder="1" applyProtection="1">
      <alignment vertical="center"/>
      <protection hidden="1"/>
    </xf>
    <xf numFmtId="43" fontId="2" fillId="0" borderId="16" xfId="0" applyNumberFormat="1" applyFont="1" applyBorder="1" applyAlignment="1" applyProtection="1">
      <alignment horizontal="right"/>
      <protection hidden="1"/>
    </xf>
    <xf numFmtId="43" fontId="2" fillId="0" borderId="21" xfId="0" applyNumberFormat="1" applyFont="1" applyBorder="1" applyAlignment="1" applyProtection="1">
      <alignment horizontal="right"/>
      <protection hidden="1"/>
    </xf>
    <xf numFmtId="0" fontId="11" fillId="0" borderId="0" xfId="0" applyFont="1" applyProtection="1">
      <alignment vertical="center"/>
      <protection locked="0"/>
    </xf>
    <xf numFmtId="49" fontId="2" fillId="0" borderId="0" xfId="0" applyNumberFormat="1" applyFont="1" applyProtection="1">
      <alignment vertical="center"/>
      <protection locked="0"/>
    </xf>
    <xf numFmtId="49" fontId="0" fillId="0" borderId="0" xfId="0" applyNumberFormat="1" applyProtection="1">
      <alignment vertical="center"/>
      <protection locked="0"/>
    </xf>
    <xf numFmtId="0" fontId="4" fillId="0" borderId="0" xfId="0" applyFont="1" applyProtection="1">
      <alignment vertical="center"/>
      <protection locked="0"/>
    </xf>
    <xf numFmtId="0" fontId="4" fillId="0" borderId="0" xfId="0" applyFont="1" applyAlignment="1" applyProtection="1">
      <alignment vertical="center"/>
      <protection locked="0"/>
    </xf>
    <xf numFmtId="49" fontId="2" fillId="0" borderId="0" xfId="0" applyNumberFormat="1" applyFont="1" applyFill="1" applyBorder="1" applyAlignment="1" applyProtection="1">
      <alignment horizontal="center"/>
      <protection hidden="1"/>
    </xf>
    <xf numFmtId="49" fontId="2" fillId="0" borderId="0" xfId="0" applyNumberFormat="1" applyFont="1" applyFill="1" applyBorder="1" applyAlignment="1" applyProtection="1">
      <alignment horizontal="center" vertical="center"/>
      <protection hidden="1"/>
    </xf>
    <xf numFmtId="49" fontId="2" fillId="0" borderId="0" xfId="0" applyNumberFormat="1" applyFont="1" applyFill="1" applyBorder="1" applyAlignment="1">
      <alignment horizontal="center" vertical="center"/>
    </xf>
    <xf numFmtId="0" fontId="0" fillId="0" borderId="0" xfId="0" applyFill="1" applyBorder="1">
      <alignment vertical="center"/>
    </xf>
    <xf numFmtId="49" fontId="6" fillId="0" borderId="0" xfId="0" applyNumberFormat="1" applyFont="1" applyFill="1" applyBorder="1" applyAlignment="1" applyProtection="1">
      <alignment horizontal="center" vertical="center"/>
      <protection hidden="1"/>
    </xf>
    <xf numFmtId="49" fontId="2" fillId="0" borderId="0" xfId="0" applyNumberFormat="1" applyFont="1" applyFill="1" applyBorder="1" applyAlignment="1" applyProtection="1">
      <alignment vertical="center"/>
      <protection hidden="1"/>
    </xf>
    <xf numFmtId="49" fontId="2" fillId="0" borderId="0" xfId="0" applyNumberFormat="1" applyFont="1" applyFill="1" applyBorder="1" applyAlignment="1" applyProtection="1">
      <alignment horizontal="left" vertical="center"/>
      <protection hidden="1"/>
    </xf>
    <xf numFmtId="49" fontId="2" fillId="0" borderId="0" xfId="0" applyNumberFormat="1" applyFont="1" applyFill="1" applyBorder="1" applyProtection="1">
      <alignment vertical="center"/>
      <protection hidden="1"/>
    </xf>
    <xf numFmtId="0" fontId="2" fillId="0" borderId="0" xfId="0" applyFont="1" applyFill="1" applyBorder="1" applyAlignment="1" applyProtection="1">
      <alignment vertical="center"/>
      <protection hidden="1"/>
    </xf>
    <xf numFmtId="0" fontId="6" fillId="0" borderId="0" xfId="0" applyFont="1" applyFill="1" applyBorder="1" applyAlignment="1" applyProtection="1">
      <alignment horizontal="center" vertical="center"/>
      <protection hidden="1"/>
    </xf>
    <xf numFmtId="0" fontId="2" fillId="0" borderId="0" xfId="0" applyFont="1" applyFill="1" applyBorder="1" applyProtection="1">
      <alignment vertical="center"/>
      <protection hidden="1"/>
    </xf>
    <xf numFmtId="0" fontId="6" fillId="0" borderId="0" xfId="0" applyFont="1" applyFill="1" applyBorder="1" applyAlignment="1" applyProtection="1">
      <alignment vertical="center"/>
      <protection hidden="1"/>
    </xf>
    <xf numFmtId="49" fontId="2" fillId="0" borderId="0" xfId="0" applyNumberFormat="1" applyFont="1" applyFill="1" applyBorder="1">
      <alignment vertical="center"/>
    </xf>
    <xf numFmtId="0" fontId="12" fillId="0" borderId="0" xfId="0" applyFont="1">
      <alignment vertical="center"/>
    </xf>
    <xf numFmtId="0" fontId="37" fillId="0" borderId="0" xfId="0" applyFont="1">
      <alignment vertical="center"/>
    </xf>
    <xf numFmtId="43" fontId="0" fillId="0" borderId="0" xfId="0" applyNumberFormat="1">
      <alignment vertical="center"/>
    </xf>
    <xf numFmtId="0" fontId="0" fillId="43" borderId="0" xfId="0" applyFill="1" applyProtection="1">
      <alignment vertical="center"/>
      <protection locked="0"/>
    </xf>
    <xf numFmtId="0" fontId="4" fillId="43" borderId="0" xfId="0" applyFont="1" applyFill="1" applyProtection="1">
      <alignment vertical="center"/>
      <protection locked="0"/>
    </xf>
    <xf numFmtId="0" fontId="4" fillId="43" borderId="0" xfId="0" applyFont="1" applyFill="1" applyAlignment="1" applyProtection="1">
      <alignment horizontal="center" vertical="center"/>
      <protection locked="0"/>
    </xf>
    <xf numFmtId="0" fontId="4" fillId="43" borderId="0" xfId="0" applyFont="1" applyFill="1" applyAlignment="1" applyProtection="1">
      <alignment vertical="center"/>
      <protection locked="0"/>
    </xf>
    <xf numFmtId="43" fontId="4" fillId="43" borderId="0" xfId="72" applyFont="1" applyFill="1" applyAlignment="1" applyProtection="1">
      <alignment vertical="center"/>
      <protection locked="0"/>
    </xf>
    <xf numFmtId="43" fontId="5" fillId="0" borderId="0" xfId="0" applyNumberFormat="1" applyFont="1" applyProtection="1">
      <alignment vertical="center"/>
    </xf>
    <xf numFmtId="43" fontId="2" fillId="0" borderId="13" xfId="0" applyNumberFormat="1" applyFont="1" applyBorder="1" applyProtection="1">
      <alignment vertical="center"/>
    </xf>
    <xf numFmtId="43" fontId="2" fillId="0" borderId="13" xfId="0" applyNumberFormat="1" applyFont="1" applyBorder="1" applyProtection="1">
      <alignment vertical="center"/>
      <protection hidden="1"/>
    </xf>
    <xf numFmtId="43" fontId="2" fillId="0" borderId="20" xfId="0" applyNumberFormat="1" applyFont="1" applyBorder="1" applyProtection="1">
      <alignment vertical="center"/>
      <protection hidden="1"/>
    </xf>
    <xf numFmtId="43" fontId="2" fillId="0" borderId="13" xfId="0" applyNumberFormat="1" applyFont="1" applyBorder="1" applyProtection="1">
      <alignment vertical="center"/>
      <protection locked="0"/>
    </xf>
    <xf numFmtId="43" fontId="2" fillId="0" borderId="20" xfId="0" applyNumberFormat="1" applyFont="1" applyBorder="1" applyProtection="1">
      <alignment vertical="center"/>
      <protection locked="0"/>
    </xf>
    <xf numFmtId="43" fontId="2" fillId="0" borderId="20" xfId="0" applyNumberFormat="1" applyFont="1" applyBorder="1" applyProtection="1">
      <alignment vertical="center"/>
    </xf>
    <xf numFmtId="43" fontId="2" fillId="0" borderId="16" xfId="0" applyNumberFormat="1" applyFont="1" applyBorder="1" applyProtection="1">
      <alignment vertical="center"/>
      <protection hidden="1"/>
    </xf>
    <xf numFmtId="43" fontId="2" fillId="0" borderId="21" xfId="0" applyNumberFormat="1" applyFont="1" applyBorder="1" applyProtection="1">
      <alignment vertical="center"/>
      <protection hidden="1"/>
    </xf>
    <xf numFmtId="43" fontId="4" fillId="0" borderId="0" xfId="0" applyNumberFormat="1" applyFont="1" applyAlignment="1" applyProtection="1">
      <alignment vertical="center"/>
      <protection locked="0"/>
    </xf>
    <xf numFmtId="43" fontId="2" fillId="43" borderId="0" xfId="0" applyNumberFormat="1" applyFont="1" applyFill="1">
      <alignment vertical="center"/>
    </xf>
    <xf numFmtId="43" fontId="2" fillId="0" borderId="0" xfId="0" applyNumberFormat="1" applyFont="1" applyFill="1" applyAlignment="1">
      <alignment horizontal="center" vertical="center"/>
    </xf>
    <xf numFmtId="49" fontId="38" fillId="0" borderId="0" xfId="0" applyNumberFormat="1" applyFont="1">
      <alignment vertical="center"/>
    </xf>
    <xf numFmtId="0" fontId="38" fillId="0" borderId="0" xfId="0" applyFont="1" applyAlignment="1">
      <alignment horizontal="center" vertical="center"/>
    </xf>
    <xf numFmtId="176" fontId="1" fillId="0" borderId="0" xfId="0" applyNumberFormat="1" applyFont="1">
      <alignment vertical="center"/>
    </xf>
    <xf numFmtId="176" fontId="0" fillId="0" borderId="0" xfId="0" applyNumberFormat="1">
      <alignment vertical="center"/>
    </xf>
    <xf numFmtId="10" fontId="0" fillId="0" borderId="0" xfId="0" applyNumberFormat="1">
      <alignment vertical="center"/>
    </xf>
    <xf numFmtId="49" fontId="39" fillId="0" borderId="12" xfId="0" applyNumberFormat="1" applyFont="1" applyBorder="1" applyAlignment="1" applyProtection="1">
      <alignment vertical="center"/>
      <protection hidden="1"/>
    </xf>
    <xf numFmtId="43" fontId="2" fillId="44" borderId="0" xfId="0" applyNumberFormat="1" applyFont="1" applyFill="1">
      <alignment vertical="center"/>
    </xf>
    <xf numFmtId="0" fontId="2" fillId="44" borderId="13" xfId="0" applyFont="1" applyFill="1" applyBorder="1" applyAlignment="1" applyProtection="1">
      <alignment vertical="center"/>
      <protection hidden="1"/>
    </xf>
    <xf numFmtId="0" fontId="40" fillId="0" borderId="0" xfId="0" applyFont="1" applyFill="1" applyBorder="1" applyAlignment="1" applyProtection="1">
      <alignment vertical="center"/>
      <protection hidden="1"/>
    </xf>
    <xf numFmtId="0" fontId="41" fillId="0" borderId="0" xfId="0" applyFont="1" applyAlignment="1" applyProtection="1">
      <alignment vertical="center"/>
      <protection locked="0"/>
    </xf>
    <xf numFmtId="0" fontId="41" fillId="0" borderId="13" xfId="0" applyFont="1" applyBorder="1" applyAlignment="1" applyProtection="1">
      <alignment horizontal="center" vertical="center"/>
      <protection hidden="1"/>
    </xf>
    <xf numFmtId="0" fontId="41" fillId="0" borderId="12" xfId="0" applyFont="1" applyBorder="1" applyProtection="1">
      <alignment vertical="center"/>
      <protection hidden="1"/>
    </xf>
    <xf numFmtId="49" fontId="41" fillId="0" borderId="23" xfId="0" applyNumberFormat="1" applyFont="1" applyBorder="1" applyAlignment="1" applyProtection="1">
      <alignment horizontal="center"/>
      <protection hidden="1"/>
    </xf>
    <xf numFmtId="43" fontId="41" fillId="0" borderId="13" xfId="0" applyNumberFormat="1" applyFont="1" applyBorder="1" applyProtection="1">
      <alignment vertical="center"/>
      <protection hidden="1"/>
    </xf>
    <xf numFmtId="43" fontId="41" fillId="0" borderId="22" xfId="0" applyNumberFormat="1" applyFont="1" applyBorder="1" applyProtection="1">
      <alignment vertical="center"/>
      <protection hidden="1"/>
    </xf>
    <xf numFmtId="43" fontId="41" fillId="0" borderId="20" xfId="0" applyNumberFormat="1" applyFont="1" applyBorder="1" applyProtection="1">
      <alignment vertical="center"/>
      <protection hidden="1"/>
    </xf>
    <xf numFmtId="0" fontId="41" fillId="0" borderId="0" xfId="0" applyFont="1" applyProtection="1">
      <alignment vertical="center"/>
      <protection locked="0"/>
    </xf>
    <xf numFmtId="43" fontId="41" fillId="0" borderId="13" xfId="0" applyNumberFormat="1" applyFont="1" applyBorder="1" applyProtection="1">
      <alignment vertical="center"/>
      <protection locked="0"/>
    </xf>
    <xf numFmtId="43" fontId="41" fillId="0" borderId="22" xfId="0" applyNumberFormat="1" applyFont="1" applyBorder="1" applyProtection="1">
      <alignment vertical="center"/>
      <protection locked="0"/>
    </xf>
    <xf numFmtId="43" fontId="41" fillId="0" borderId="14" xfId="0" applyNumberFormat="1" applyFont="1" applyBorder="1" applyProtection="1">
      <alignment vertical="center"/>
      <protection locked="0"/>
    </xf>
    <xf numFmtId="43" fontId="41" fillId="0" borderId="24" xfId="0" applyNumberFormat="1" applyFont="1" applyBorder="1" applyProtection="1">
      <alignment vertical="center"/>
      <protection locked="0"/>
    </xf>
    <xf numFmtId="0" fontId="41" fillId="0" borderId="15" xfId="0" applyFont="1" applyBorder="1" applyProtection="1">
      <alignment vertical="center"/>
      <protection hidden="1"/>
    </xf>
    <xf numFmtId="49" fontId="41" fillId="0" borderId="16" xfId="0" applyNumberFormat="1" applyFont="1" applyBorder="1" applyAlignment="1" applyProtection="1">
      <alignment horizontal="center"/>
      <protection hidden="1"/>
    </xf>
    <xf numFmtId="43" fontId="41" fillId="0" borderId="16" xfId="0" applyNumberFormat="1" applyFont="1" applyBorder="1" applyProtection="1">
      <alignment vertical="center"/>
      <protection hidden="1"/>
    </xf>
    <xf numFmtId="43" fontId="41" fillId="0" borderId="21" xfId="0" applyNumberFormat="1" applyFont="1" applyBorder="1" applyProtection="1">
      <alignment vertical="center"/>
      <protection hidden="1"/>
    </xf>
    <xf numFmtId="0" fontId="43" fillId="0" borderId="0" xfId="0" applyFont="1" applyProtection="1">
      <alignment vertical="center"/>
      <protection hidden="1"/>
    </xf>
    <xf numFmtId="0" fontId="41" fillId="0" borderId="0" xfId="0" applyFont="1" applyProtection="1">
      <alignment vertical="center"/>
    </xf>
    <xf numFmtId="43" fontId="41" fillId="0" borderId="0" xfId="0" applyNumberFormat="1" applyFont="1" applyProtection="1">
      <alignment vertical="center"/>
      <protection locked="0"/>
    </xf>
    <xf numFmtId="3" fontId="44" fillId="0" borderId="0" xfId="0" applyNumberFormat="1" applyFont="1" applyProtection="1">
      <alignment vertical="center"/>
      <protection locked="0"/>
    </xf>
    <xf numFmtId="49" fontId="2" fillId="0" borderId="0" xfId="0" applyNumberFormat="1" applyFont="1" applyAlignment="1">
      <alignment horizontal="left" vertical="center"/>
    </xf>
    <xf numFmtId="49" fontId="45" fillId="0" borderId="0" xfId="0" applyNumberFormat="1" applyFont="1" applyAlignment="1">
      <alignment horizontal="left" vertical="center"/>
    </xf>
    <xf numFmtId="0" fontId="2" fillId="45" borderId="0" xfId="0" applyFont="1" applyFill="1">
      <alignment vertical="center"/>
    </xf>
    <xf numFmtId="43" fontId="2" fillId="45" borderId="0" xfId="0" applyNumberFormat="1" applyFont="1" applyFill="1">
      <alignment vertical="center"/>
    </xf>
    <xf numFmtId="0" fontId="5" fillId="45" borderId="0" xfId="0" applyFont="1" applyFill="1">
      <alignment vertical="center"/>
    </xf>
    <xf numFmtId="49" fontId="2" fillId="45" borderId="0" xfId="0" applyNumberFormat="1" applyFont="1" applyFill="1" applyAlignment="1">
      <alignment horizontal="left" vertical="center"/>
    </xf>
    <xf numFmtId="0" fontId="3" fillId="45" borderId="0" xfId="0" applyFont="1" applyFill="1" applyAlignment="1" applyProtection="1">
      <alignment horizontal="left"/>
      <protection locked="0"/>
    </xf>
    <xf numFmtId="0" fontId="2" fillId="45" borderId="0" xfId="0" applyFont="1" applyFill="1" applyAlignment="1">
      <alignment horizontal="center" vertical="center"/>
    </xf>
    <xf numFmtId="49" fontId="2" fillId="45" borderId="0" xfId="0" applyNumberFormat="1" applyFont="1" applyFill="1">
      <alignment vertical="center"/>
    </xf>
    <xf numFmtId="0" fontId="38" fillId="45" borderId="0" xfId="0" applyFont="1" applyFill="1" applyAlignment="1">
      <alignment horizontal="center" vertical="center"/>
    </xf>
    <xf numFmtId="0" fontId="37" fillId="0" borderId="0" xfId="0" applyFont="1" applyProtection="1">
      <alignment vertical="center"/>
      <protection locked="0"/>
    </xf>
    <xf numFmtId="0" fontId="37" fillId="0" borderId="0" xfId="0" applyFont="1" applyAlignment="1" applyProtection="1">
      <alignment horizontal="center" vertical="center"/>
      <protection locked="0"/>
    </xf>
    <xf numFmtId="0" fontId="37" fillId="0" borderId="0" xfId="0" applyFont="1" applyAlignment="1" applyProtection="1">
      <alignment horizontal="right" vertical="center"/>
      <protection locked="0"/>
    </xf>
    <xf numFmtId="0" fontId="37" fillId="0" borderId="19" xfId="0" applyFont="1" applyBorder="1" applyAlignment="1" applyProtection="1">
      <alignment horizontal="left" vertical="center"/>
      <protection locked="0" hidden="1"/>
    </xf>
    <xf numFmtId="43" fontId="41" fillId="0" borderId="0" xfId="0" applyNumberFormat="1" applyFont="1" applyBorder="1" applyAlignment="1" applyProtection="1">
      <alignment horizontal="left" vertical="center"/>
      <protection hidden="1"/>
    </xf>
    <xf numFmtId="0" fontId="2" fillId="0" borderId="19" xfId="0" applyFont="1" applyBorder="1" applyAlignment="1" applyProtection="1">
      <protection locked="0"/>
    </xf>
    <xf numFmtId="0" fontId="3" fillId="0" borderId="10" xfId="0" applyFont="1" applyBorder="1" applyAlignment="1" applyProtection="1">
      <alignment horizontal="center" vertical="center"/>
      <protection hidden="1"/>
    </xf>
    <xf numFmtId="49" fontId="3" fillId="0" borderId="11" xfId="0" applyNumberFormat="1" applyFont="1" applyBorder="1" applyAlignment="1" applyProtection="1">
      <alignment horizontal="center" vertical="center"/>
      <protection hidden="1"/>
    </xf>
    <xf numFmtId="0" fontId="3" fillId="0" borderId="25" xfId="0" applyFont="1" applyBorder="1" applyAlignment="1" applyProtection="1">
      <alignment horizontal="center" vertical="center"/>
      <protection hidden="1"/>
    </xf>
    <xf numFmtId="0" fontId="3" fillId="0" borderId="18" xfId="0" applyFont="1" applyBorder="1" applyAlignment="1" applyProtection="1">
      <alignment horizontal="center" vertical="center"/>
      <protection hidden="1"/>
    </xf>
    <xf numFmtId="0" fontId="48" fillId="0" borderId="12" xfId="0" applyFont="1" applyBorder="1" applyAlignment="1" applyProtection="1">
      <alignment vertical="center"/>
      <protection hidden="1"/>
    </xf>
    <xf numFmtId="49" fontId="3" fillId="0" borderId="13" xfId="0" applyNumberFormat="1" applyFont="1" applyBorder="1" applyAlignment="1" applyProtection="1">
      <alignment horizontal="center" vertical="center"/>
      <protection hidden="1"/>
    </xf>
    <xf numFmtId="43" fontId="3" fillId="0" borderId="22" xfId="0" applyNumberFormat="1" applyFont="1" applyBorder="1" applyAlignment="1" applyProtection="1">
      <alignment vertical="center"/>
      <protection hidden="1"/>
    </xf>
    <xf numFmtId="43" fontId="3" fillId="0" borderId="20" xfId="0" applyNumberFormat="1" applyFont="1" applyBorder="1" applyAlignment="1" applyProtection="1">
      <alignment vertical="center"/>
      <protection hidden="1"/>
    </xf>
    <xf numFmtId="0" fontId="3" fillId="0" borderId="12" xfId="0" applyFont="1" applyBorder="1" applyAlignment="1" applyProtection="1">
      <alignment vertical="center"/>
      <protection hidden="1"/>
    </xf>
    <xf numFmtId="43" fontId="3" fillId="0" borderId="22" xfId="0" applyNumberFormat="1" applyFont="1" applyBorder="1" applyAlignment="1" applyProtection="1">
      <alignment vertical="center"/>
      <protection locked="0"/>
    </xf>
    <xf numFmtId="43" fontId="3" fillId="0" borderId="20" xfId="0" applyNumberFormat="1" applyFont="1" applyBorder="1" applyAlignment="1" applyProtection="1">
      <alignment vertical="center"/>
      <protection locked="0"/>
    </xf>
    <xf numFmtId="0" fontId="3" fillId="0" borderId="12" xfId="0" applyFont="1" applyBorder="1" applyAlignment="1" applyProtection="1">
      <alignment horizontal="center" vertical="center"/>
      <protection hidden="1"/>
    </xf>
    <xf numFmtId="0" fontId="3" fillId="0" borderId="17" xfId="0" applyFont="1" applyBorder="1" applyAlignment="1" applyProtection="1">
      <alignment horizontal="center" vertical="center"/>
      <protection hidden="1"/>
    </xf>
    <xf numFmtId="49" fontId="3" fillId="0" borderId="14" xfId="0" applyNumberFormat="1" applyFont="1" applyBorder="1" applyAlignment="1" applyProtection="1">
      <alignment horizontal="center" vertical="center"/>
      <protection hidden="1"/>
    </xf>
    <xf numFmtId="43" fontId="3" fillId="0" borderId="24" xfId="0" applyNumberFormat="1" applyFont="1" applyBorder="1" applyAlignment="1" applyProtection="1">
      <alignment vertical="center"/>
      <protection hidden="1"/>
    </xf>
    <xf numFmtId="0" fontId="48" fillId="0" borderId="17" xfId="0" applyFont="1" applyBorder="1" applyAlignment="1" applyProtection="1">
      <alignment vertical="center"/>
      <protection hidden="1"/>
    </xf>
    <xf numFmtId="43" fontId="3" fillId="0" borderId="26" xfId="0" applyNumberFormat="1" applyFont="1" applyBorder="1" applyAlignment="1" applyProtection="1">
      <alignment vertical="center"/>
      <protection hidden="1"/>
    </xf>
    <xf numFmtId="43" fontId="3" fillId="0" borderId="13" xfId="0" applyNumberFormat="1" applyFont="1" applyBorder="1" applyAlignment="1" applyProtection="1">
      <alignment vertical="center"/>
      <protection hidden="1"/>
    </xf>
    <xf numFmtId="0" fontId="48" fillId="0" borderId="15" xfId="0" applyFont="1" applyBorder="1" applyAlignment="1" applyProtection="1">
      <alignment vertical="center"/>
      <protection hidden="1"/>
    </xf>
    <xf numFmtId="49" fontId="3" fillId="0" borderId="16" xfId="0" applyNumberFormat="1" applyFont="1" applyBorder="1" applyAlignment="1" applyProtection="1">
      <alignment horizontal="center" vertical="center"/>
      <protection hidden="1"/>
    </xf>
    <xf numFmtId="43" fontId="3" fillId="0" borderId="16" xfId="0" applyNumberFormat="1" applyFont="1" applyBorder="1" applyAlignment="1" applyProtection="1">
      <alignment vertical="center"/>
      <protection hidden="1"/>
    </xf>
    <xf numFmtId="43" fontId="3" fillId="0" borderId="21" xfId="0" applyNumberFormat="1" applyFont="1" applyBorder="1" applyAlignment="1" applyProtection="1">
      <alignment vertical="center"/>
      <protection hidden="1"/>
    </xf>
    <xf numFmtId="0" fontId="49" fillId="0" borderId="0" xfId="0" applyFont="1" applyBorder="1" applyAlignment="1" applyProtection="1">
      <alignment vertical="center"/>
      <protection hidden="1"/>
    </xf>
    <xf numFmtId="49" fontId="3" fillId="0" borderId="0" xfId="0" applyNumberFormat="1" applyFont="1" applyBorder="1" applyAlignment="1" applyProtection="1">
      <alignment horizontal="center" vertical="center"/>
      <protection locked="0"/>
    </xf>
    <xf numFmtId="43" fontId="3" fillId="0" borderId="0" xfId="0" applyNumberFormat="1" applyFont="1" applyBorder="1" applyAlignment="1" applyProtection="1">
      <alignment vertical="center"/>
      <protection locked="0"/>
    </xf>
    <xf numFmtId="43" fontId="49" fillId="0" borderId="0" xfId="0" applyNumberFormat="1" applyFont="1" applyBorder="1" applyAlignment="1" applyProtection="1">
      <alignment vertical="center"/>
      <protection hidden="1"/>
    </xf>
    <xf numFmtId="0" fontId="50" fillId="0" borderId="12" xfId="0" applyFont="1" applyBorder="1" applyAlignment="1" applyProtection="1">
      <alignment vertical="center"/>
      <protection hidden="1"/>
    </xf>
    <xf numFmtId="0" fontId="3" fillId="0" borderId="15" xfId="0" applyFont="1" applyBorder="1" applyAlignment="1" applyProtection="1">
      <alignment vertical="center"/>
      <protection hidden="1"/>
    </xf>
    <xf numFmtId="43" fontId="3" fillId="0" borderId="27" xfId="0" applyNumberFormat="1" applyFont="1" applyBorder="1" applyAlignment="1" applyProtection="1">
      <alignment vertical="center"/>
      <protection hidden="1"/>
    </xf>
    <xf numFmtId="0" fontId="49" fillId="0" borderId="0" xfId="0" applyFont="1" applyProtection="1">
      <alignment vertical="center"/>
      <protection hidden="1"/>
    </xf>
    <xf numFmtId="49" fontId="3" fillId="0" borderId="0" xfId="0" applyNumberFormat="1" applyFont="1" applyAlignment="1" applyProtection="1">
      <alignment horizontal="center"/>
      <protection hidden="1"/>
    </xf>
    <xf numFmtId="0" fontId="3" fillId="0" borderId="0" xfId="0" applyFont="1" applyProtection="1">
      <alignment vertical="center"/>
      <protection locked="0"/>
    </xf>
    <xf numFmtId="0" fontId="3" fillId="0" borderId="0" xfId="0" applyFont="1" applyProtection="1">
      <alignment vertical="center"/>
      <protection hidden="1"/>
    </xf>
    <xf numFmtId="49" fontId="3" fillId="0" borderId="0" xfId="0" applyNumberFormat="1" applyFont="1" applyAlignment="1" applyProtection="1">
      <alignment horizontal="center"/>
      <protection locked="0"/>
    </xf>
    <xf numFmtId="49" fontId="2" fillId="0" borderId="0" xfId="0" applyNumberFormat="1" applyFont="1" applyAlignment="1">
      <alignment horizontal="center" vertical="center"/>
    </xf>
    <xf numFmtId="49" fontId="2" fillId="0" borderId="12" xfId="0" applyNumberFormat="1" applyFont="1" applyBorder="1" applyAlignment="1" applyProtection="1">
      <alignment vertical="center" wrapText="1"/>
      <protection hidden="1"/>
    </xf>
    <xf numFmtId="43" fontId="2" fillId="0" borderId="0" xfId="0" applyNumberFormat="1" applyFont="1" applyAlignment="1">
      <alignment vertical="center"/>
    </xf>
    <xf numFmtId="0" fontId="2" fillId="0" borderId="0" xfId="0" applyFont="1" applyFill="1" applyBorder="1" applyAlignment="1" applyProtection="1">
      <alignment vertical="center" wrapText="1"/>
      <protection hidden="1"/>
    </xf>
    <xf numFmtId="49" fontId="2" fillId="44" borderId="13" xfId="0" applyNumberFormat="1" applyFont="1" applyFill="1" applyBorder="1" applyAlignment="1" applyProtection="1">
      <alignment horizontal="center" vertical="center"/>
      <protection hidden="1"/>
    </xf>
    <xf numFmtId="49" fontId="5" fillId="0" borderId="0" xfId="0" applyNumberFormat="1" applyFont="1" applyAlignment="1">
      <alignment vertical="center"/>
    </xf>
    <xf numFmtId="49" fontId="2" fillId="0" borderId="0" xfId="0" applyNumberFormat="1" applyFont="1" applyAlignment="1">
      <alignment vertical="center"/>
    </xf>
    <xf numFmtId="0" fontId="2" fillId="46" borderId="0" xfId="0" applyFont="1" applyFill="1" applyBorder="1" applyAlignment="1" applyProtection="1">
      <alignment horizontal="left" vertical="center" wrapText="1"/>
    </xf>
    <xf numFmtId="0" fontId="2" fillId="46" borderId="0" xfId="0" applyFont="1" applyFill="1" applyBorder="1" applyAlignment="1" applyProtection="1">
      <alignment vertical="center" wrapText="1"/>
      <protection hidden="1"/>
    </xf>
    <xf numFmtId="49" fontId="2" fillId="46" borderId="13" xfId="0" applyNumberFormat="1" applyFont="1" applyFill="1" applyBorder="1" applyAlignment="1" applyProtection="1">
      <alignment horizontal="center" vertical="center"/>
      <protection hidden="1"/>
    </xf>
    <xf numFmtId="43" fontId="2" fillId="46" borderId="0" xfId="0" applyNumberFormat="1" applyFont="1" applyFill="1">
      <alignment vertical="center"/>
    </xf>
    <xf numFmtId="0" fontId="2" fillId="46" borderId="0" xfId="0" applyFont="1" applyFill="1" applyBorder="1" applyProtection="1">
      <alignment vertical="center"/>
      <protection hidden="1"/>
    </xf>
    <xf numFmtId="0" fontId="2" fillId="0" borderId="13" xfId="0" applyFont="1" applyBorder="1" applyAlignment="1" applyProtection="1">
      <alignment vertical="center" wrapText="1"/>
      <protection hidden="1"/>
    </xf>
    <xf numFmtId="0" fontId="2" fillId="0" borderId="12" xfId="0" applyFont="1" applyBorder="1" applyAlignment="1" applyProtection="1">
      <alignment vertical="center" wrapText="1"/>
      <protection hidden="1"/>
    </xf>
    <xf numFmtId="0" fontId="37" fillId="0" borderId="22" xfId="0" applyFont="1" applyBorder="1" applyAlignment="1" applyProtection="1">
      <alignment horizontal="center" vertical="center"/>
      <protection hidden="1"/>
    </xf>
    <xf numFmtId="0" fontId="37" fillId="0" borderId="12" xfId="0" applyFont="1" applyBorder="1" applyProtection="1">
      <alignment vertical="center"/>
      <protection hidden="1"/>
    </xf>
    <xf numFmtId="0" fontId="2" fillId="45" borderId="0" xfId="0" applyFont="1" applyFill="1" applyAlignment="1" applyProtection="1">
      <alignment horizontal="left"/>
      <protection locked="0"/>
    </xf>
    <xf numFmtId="0" fontId="9" fillId="0" borderId="0" xfId="0" applyFont="1" applyAlignment="1">
      <alignment horizontal="center"/>
    </xf>
    <xf numFmtId="0" fontId="2" fillId="0" borderId="0" xfId="0" applyFont="1" applyAlignment="1" applyProtection="1">
      <alignment horizontal="right"/>
      <protection hidden="1"/>
    </xf>
    <xf numFmtId="0" fontId="2" fillId="0" borderId="0" xfId="0" applyFont="1" applyBorder="1" applyAlignment="1" applyProtection="1">
      <alignment horizontal="left"/>
      <protection locked="0"/>
    </xf>
    <xf numFmtId="0" fontId="2" fillId="0" borderId="19" xfId="0" applyFont="1" applyBorder="1" applyAlignment="1" applyProtection="1">
      <alignment horizontal="left"/>
      <protection locked="0"/>
    </xf>
    <xf numFmtId="49" fontId="9" fillId="0" borderId="0" xfId="0" applyNumberFormat="1" applyFont="1" applyAlignment="1" applyProtection="1">
      <alignment horizontal="center"/>
    </xf>
    <xf numFmtId="0" fontId="2" fillId="0" borderId="28" xfId="0" applyFont="1" applyBorder="1" applyAlignment="1" applyProtection="1">
      <alignment horizontal="left"/>
      <protection locked="0"/>
    </xf>
    <xf numFmtId="49" fontId="47" fillId="0" borderId="0" xfId="0" applyNumberFormat="1" applyFont="1" applyAlignment="1" applyProtection="1">
      <alignment horizontal="center"/>
      <protection hidden="1"/>
    </xf>
    <xf numFmtId="0" fontId="3" fillId="0" borderId="28" xfId="0" applyFont="1" applyBorder="1" applyAlignment="1" applyProtection="1">
      <alignment horizontal="center"/>
      <protection locked="0"/>
    </xf>
    <xf numFmtId="49" fontId="9" fillId="0" borderId="0" xfId="0" applyNumberFormat="1" applyFont="1" applyAlignment="1" applyProtection="1">
      <alignment horizontal="center"/>
      <protection hidden="1"/>
    </xf>
    <xf numFmtId="0" fontId="3" fillId="0" borderId="0" xfId="0" applyFont="1" applyBorder="1" applyAlignment="1" applyProtection="1">
      <alignment horizontal="right"/>
      <protection hidden="1"/>
    </xf>
    <xf numFmtId="0" fontId="3" fillId="0" borderId="19" xfId="0" applyFont="1" applyBorder="1" applyAlignment="1" applyProtection="1">
      <alignment horizontal="left" vertical="center"/>
      <protection locked="0"/>
    </xf>
    <xf numFmtId="0" fontId="41" fillId="0" borderId="29" xfId="0" applyFont="1" applyBorder="1" applyAlignment="1" applyProtection="1">
      <alignment horizontal="center" vertical="center"/>
      <protection hidden="1"/>
    </xf>
    <xf numFmtId="0" fontId="41" fillId="0" borderId="34" xfId="0" applyFont="1" applyBorder="1" applyAlignment="1" applyProtection="1">
      <alignment horizontal="center" vertical="center"/>
      <protection hidden="1"/>
    </xf>
    <xf numFmtId="0" fontId="41" fillId="0" borderId="30" xfId="0" applyFont="1" applyBorder="1" applyAlignment="1" applyProtection="1">
      <alignment horizontal="center" vertical="center"/>
      <protection hidden="1"/>
    </xf>
    <xf numFmtId="0" fontId="41" fillId="0" borderId="31" xfId="0" applyFont="1" applyBorder="1" applyAlignment="1" applyProtection="1">
      <alignment horizontal="center" vertical="center"/>
      <protection hidden="1"/>
    </xf>
    <xf numFmtId="0" fontId="41" fillId="0" borderId="35" xfId="0" applyFont="1" applyBorder="1" applyAlignment="1" applyProtection="1">
      <alignment horizontal="center" vertical="center"/>
      <protection hidden="1"/>
    </xf>
    <xf numFmtId="0" fontId="41" fillId="0" borderId="32" xfId="0" applyFont="1" applyBorder="1" applyAlignment="1" applyProtection="1">
      <alignment horizontal="center" vertical="center"/>
      <protection hidden="1"/>
    </xf>
    <xf numFmtId="0" fontId="41" fillId="0" borderId="11" xfId="0" applyFont="1" applyBorder="1" applyAlignment="1" applyProtection="1">
      <alignment horizontal="center" vertical="center"/>
      <protection hidden="1"/>
    </xf>
    <xf numFmtId="0" fontId="41" fillId="0" borderId="25" xfId="0" applyFont="1" applyBorder="1" applyAlignment="1" applyProtection="1">
      <alignment horizontal="center" vertical="center"/>
      <protection hidden="1"/>
    </xf>
    <xf numFmtId="0" fontId="41" fillId="0" borderId="18" xfId="0" applyFont="1" applyBorder="1" applyAlignment="1" applyProtection="1">
      <alignment horizontal="center" vertical="center"/>
      <protection hidden="1"/>
    </xf>
    <xf numFmtId="0" fontId="46" fillId="0" borderId="0" xfId="0" applyFont="1" applyAlignment="1" applyProtection="1">
      <alignment horizontal="center" vertical="center"/>
      <protection locked="0"/>
    </xf>
    <xf numFmtId="0" fontId="37" fillId="0" borderId="22" xfId="0" applyFont="1" applyBorder="1" applyAlignment="1" applyProtection="1">
      <alignment horizontal="center" vertical="center"/>
      <protection hidden="1"/>
    </xf>
    <xf numFmtId="0" fontId="41" fillId="0" borderId="33" xfId="0" applyFont="1" applyBorder="1" applyAlignment="1" applyProtection="1">
      <alignment horizontal="center" vertical="center"/>
      <protection hidden="1"/>
    </xf>
    <xf numFmtId="0" fontId="41" fillId="0" borderId="23" xfId="0" applyFont="1" applyBorder="1" applyAlignment="1" applyProtection="1">
      <alignment horizontal="center" vertical="center"/>
      <protection hidden="1"/>
    </xf>
    <xf numFmtId="0" fontId="41" fillId="0" borderId="14" xfId="0" applyFont="1" applyBorder="1" applyAlignment="1" applyProtection="1">
      <alignment horizontal="center" vertical="center"/>
      <protection hidden="1"/>
    </xf>
    <xf numFmtId="0" fontId="41" fillId="0" borderId="26" xfId="0" applyFont="1" applyBorder="1" applyAlignment="1" applyProtection="1">
      <alignment horizontal="center" vertical="center"/>
      <protection hidden="1"/>
    </xf>
    <xf numFmtId="0" fontId="41" fillId="0" borderId="36" xfId="0" applyFont="1" applyBorder="1" applyAlignment="1" applyProtection="1">
      <alignment horizontal="center" vertical="center"/>
      <protection hidden="1"/>
    </xf>
    <xf numFmtId="49" fontId="2" fillId="0" borderId="0" xfId="0" applyNumberFormat="1" applyFont="1" applyAlignment="1">
      <alignment horizontal="center" vertical="center"/>
    </xf>
    <xf numFmtId="49" fontId="2" fillId="0" borderId="28" xfId="0" applyNumberFormat="1" applyFont="1" applyBorder="1" applyAlignment="1">
      <alignment horizontal="center" vertical="center"/>
    </xf>
    <xf numFmtId="43" fontId="2" fillId="0" borderId="0" xfId="0" applyNumberFormat="1" applyFont="1" applyAlignment="1">
      <alignment horizontal="center" vertical="center"/>
    </xf>
    <xf numFmtId="49" fontId="51" fillId="0" borderId="28" xfId="0" applyNumberFormat="1" applyFont="1" applyBorder="1" applyAlignment="1">
      <alignment horizontal="left" vertical="center" wrapText="1"/>
    </xf>
  </cellXfs>
  <cellStyles count="89">
    <cellStyle name="20% - 强调文字颜色 1" xfId="1" builtinId="30" customBuiltin="1"/>
    <cellStyle name="20% - 强调文字颜色 2" xfId="2" builtinId="34" customBuiltin="1"/>
    <cellStyle name="20% - 强调文字颜色 3" xfId="3" builtinId="38" customBuiltin="1"/>
    <cellStyle name="20% - 强调文字颜色 4" xfId="4" builtinId="42" customBuiltin="1"/>
    <cellStyle name="20% - 强调文字颜色 5" xfId="5" builtinId="46" customBuiltin="1"/>
    <cellStyle name="20% - 强调文字颜色 6" xfId="6" builtinId="50" customBuiltin="1"/>
    <cellStyle name="40% - 强调文字颜色 1" xfId="7" builtinId="31" customBuiltin="1"/>
    <cellStyle name="40% - 强调文字颜色 2" xfId="8" builtinId="35" customBuiltin="1"/>
    <cellStyle name="40% - 强调文字颜色 3" xfId="9" builtinId="39" customBuiltin="1"/>
    <cellStyle name="40% - 强调文字颜色 4" xfId="10" builtinId="43" customBuiltin="1"/>
    <cellStyle name="40% - 强调文字颜色 5" xfId="11" builtinId="47" customBuiltin="1"/>
    <cellStyle name="40% - 强调文字颜色 6" xfId="12" builtinId="51" customBuiltin="1"/>
    <cellStyle name="60% - 强调文字颜色 1" xfId="13" builtinId="32" customBuiltin="1"/>
    <cellStyle name="60% - 强调文字颜色 2" xfId="14" builtinId="36" customBuiltin="1"/>
    <cellStyle name="60% - 强调文字颜色 3" xfId="15" builtinId="40" customBuiltin="1"/>
    <cellStyle name="60% - 强调文字颜色 4" xfId="16" builtinId="44" customBuiltin="1"/>
    <cellStyle name="60% - 强调文字颜色 5" xfId="17" builtinId="48" customBuiltin="1"/>
    <cellStyle name="60% - 强调文字颜色 6" xfId="18" builtinId="52" customBuiltin="1"/>
    <cellStyle name="Accent1" xfId="19"/>
    <cellStyle name="Accent1 - 20%" xfId="20"/>
    <cellStyle name="Accent1 - 40%" xfId="21"/>
    <cellStyle name="Accent1 - 60%" xfId="22"/>
    <cellStyle name="Accent2" xfId="23"/>
    <cellStyle name="Accent2 - 20%" xfId="24"/>
    <cellStyle name="Accent2 - 40%" xfId="25"/>
    <cellStyle name="Accent2 - 60%" xfId="26"/>
    <cellStyle name="Accent3" xfId="27"/>
    <cellStyle name="Accent3 - 20%" xfId="28"/>
    <cellStyle name="Accent3 - 40%" xfId="29"/>
    <cellStyle name="Accent3 - 60%" xfId="30"/>
    <cellStyle name="Accent4" xfId="31"/>
    <cellStyle name="Accent4 - 20%" xfId="32"/>
    <cellStyle name="Accent4 - 40%" xfId="33"/>
    <cellStyle name="Accent4 - 60%" xfId="34"/>
    <cellStyle name="Accent5" xfId="35"/>
    <cellStyle name="Accent5 - 20%" xfId="36"/>
    <cellStyle name="Accent5 - 40%" xfId="37"/>
    <cellStyle name="Accent5 - 60%" xfId="38"/>
    <cellStyle name="Accent6" xfId="39"/>
    <cellStyle name="Accent6 - 20%" xfId="40"/>
    <cellStyle name="Accent6 - 40%" xfId="41"/>
    <cellStyle name="Accent6 - 60%" xfId="42"/>
    <cellStyle name="Normal_附1 " xfId="43"/>
    <cellStyle name="百分比 2" xfId="44"/>
    <cellStyle name="百分比 3" xfId="45"/>
    <cellStyle name="百分比 4" xfId="46"/>
    <cellStyle name="标题" xfId="47" builtinId="15" customBuiltin="1"/>
    <cellStyle name="标题 1" xfId="48" builtinId="16" customBuiltin="1"/>
    <cellStyle name="标题 2" xfId="49" builtinId="17" customBuiltin="1"/>
    <cellStyle name="标题 3" xfId="50" builtinId="18" customBuiltin="1"/>
    <cellStyle name="标题 4" xfId="51" builtinId="19" customBuiltin="1"/>
    <cellStyle name="表标题" xfId="52"/>
    <cellStyle name="差" xfId="53" builtinId="27" customBuiltin="1"/>
    <cellStyle name="常规" xfId="0" builtinId="0"/>
    <cellStyle name="常规 2" xfId="54"/>
    <cellStyle name="常规 2 2" xfId="55"/>
    <cellStyle name="常规 2 3" xfId="56"/>
    <cellStyle name="常规 3" xfId="57"/>
    <cellStyle name="常规 4" xfId="58"/>
    <cellStyle name="常规 5" xfId="59"/>
    <cellStyle name="好" xfId="60" builtinId="26" customBuiltin="1"/>
    <cellStyle name="汇总" xfId="61" builtinId="25" customBuiltin="1"/>
    <cellStyle name="计算" xfId="62" builtinId="22" customBuiltin="1"/>
    <cellStyle name="检查单元格" xfId="63" builtinId="23" customBuiltin="1"/>
    <cellStyle name="解释性文本" xfId="64" builtinId="53" customBuiltin="1"/>
    <cellStyle name="警告文本" xfId="65" builtinId="11" customBuiltin="1"/>
    <cellStyle name="链接单元格" xfId="66" builtinId="24" customBuiltin="1"/>
    <cellStyle name="普通_laroux" xfId="67"/>
    <cellStyle name="千分位[0]_封面" xfId="68"/>
    <cellStyle name="千分位_封面" xfId="69"/>
    <cellStyle name="千位[0]_laroux" xfId="70"/>
    <cellStyle name="千位_laroux" xfId="71"/>
    <cellStyle name="千位分隔" xfId="72" builtinId="3"/>
    <cellStyle name="千位分隔 2" xfId="73"/>
    <cellStyle name="千位分隔 3" xfId="74"/>
    <cellStyle name="千位分隔 4" xfId="75"/>
    <cellStyle name="强调 1" xfId="76"/>
    <cellStyle name="强调 2" xfId="77"/>
    <cellStyle name="强调 3" xfId="78"/>
    <cellStyle name="强调文字颜色 1" xfId="79" builtinId="29" customBuiltin="1"/>
    <cellStyle name="强调文字颜色 2" xfId="80" builtinId="33" customBuiltin="1"/>
    <cellStyle name="强调文字颜色 3" xfId="81" builtinId="37" customBuiltin="1"/>
    <cellStyle name="强调文字颜色 4" xfId="82" builtinId="41" customBuiltin="1"/>
    <cellStyle name="强调文字颜色 5" xfId="83" builtinId="45" customBuiltin="1"/>
    <cellStyle name="强调文字颜色 6" xfId="84" builtinId="49" customBuiltin="1"/>
    <cellStyle name="适中" xfId="85" builtinId="28" customBuiltin="1"/>
    <cellStyle name="输出" xfId="86" builtinId="21" customBuiltin="1"/>
    <cellStyle name="输入" xfId="87" builtinId="20" customBuiltin="1"/>
    <cellStyle name="注释" xfId="88" builtinId="10" customBuiltin="1"/>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2:A7"/>
  <sheetViews>
    <sheetView showZeros="0" defaultGridColor="0" colorId="0" workbookViewId="0">
      <selection activeCell="A7" sqref="A7"/>
    </sheetView>
  </sheetViews>
  <sheetFormatPr defaultRowHeight="14.25"/>
  <sheetData>
    <row r="2" spans="1:1">
      <c r="A2" s="81"/>
    </row>
    <row r="3" spans="1:1">
      <c r="A3" s="81"/>
    </row>
    <row r="4" spans="1:1">
      <c r="A4" s="81"/>
    </row>
    <row r="5" spans="1:1">
      <c r="A5" s="81"/>
    </row>
    <row r="6" spans="1:1">
      <c r="A6" s="81"/>
    </row>
    <row r="7" spans="1:1">
      <c r="A7" s="81"/>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Sheet1"/>
  <dimension ref="A1:H57"/>
  <sheetViews>
    <sheetView tabSelected="1" zoomScale="115" zoomScaleNormal="115" workbookViewId="0">
      <pane ySplit="4" topLeftCell="A5" activePane="bottomLeft" state="frozen"/>
      <selection pane="bottomLeft" activeCell="D55" sqref="D55"/>
    </sheetView>
  </sheetViews>
  <sheetFormatPr defaultRowHeight="14.25"/>
  <cols>
    <col min="1" max="1" width="22.125" style="73" bestFit="1" customWidth="1"/>
    <col min="2" max="2" width="3.25" style="74" bestFit="1" customWidth="1"/>
    <col min="3" max="4" width="18" bestFit="1" customWidth="1"/>
    <col min="5" max="5" width="20.75" customWidth="1"/>
    <col min="6" max="6" width="3.5" style="76" customWidth="1"/>
    <col min="7" max="8" width="18" bestFit="1" customWidth="1"/>
  </cols>
  <sheetData>
    <row r="1" spans="1:8" ht="28.5">
      <c r="A1" s="225" t="s">
        <v>350</v>
      </c>
      <c r="B1" s="225"/>
      <c r="C1" s="225"/>
      <c r="D1" s="225"/>
      <c r="E1" s="225"/>
      <c r="F1" s="225"/>
      <c r="G1" s="225"/>
      <c r="H1" s="225"/>
    </row>
    <row r="2" spans="1:8" s="55" customFormat="1" ht="12">
      <c r="A2" s="226" t="s">
        <v>351</v>
      </c>
      <c r="B2" s="226"/>
      <c r="C2" s="226"/>
      <c r="D2" s="226"/>
      <c r="E2" s="226"/>
      <c r="F2" s="226"/>
      <c r="G2" s="226"/>
      <c r="H2" s="226"/>
    </row>
    <row r="3" spans="1:8" s="64" customFormat="1">
      <c r="A3" s="227" t="s">
        <v>815</v>
      </c>
      <c r="B3" s="227"/>
      <c r="C3" s="227"/>
      <c r="D3" s="227"/>
      <c r="E3" s="227"/>
      <c r="F3" s="227"/>
      <c r="G3" s="227"/>
      <c r="H3" s="227"/>
    </row>
    <row r="4" spans="1:8">
      <c r="A4" s="1" t="s">
        <v>352</v>
      </c>
      <c r="B4" s="2" t="s">
        <v>353</v>
      </c>
      <c r="C4" s="12" t="s">
        <v>354</v>
      </c>
      <c r="D4" s="12" t="s">
        <v>355</v>
      </c>
      <c r="E4" s="12" t="s">
        <v>356</v>
      </c>
      <c r="F4" s="2" t="s">
        <v>353</v>
      </c>
      <c r="G4" s="12" t="s">
        <v>354</v>
      </c>
      <c r="H4" s="65" t="s">
        <v>355</v>
      </c>
    </row>
    <row r="5" spans="1:8" s="55" customFormat="1" ht="12">
      <c r="A5" s="3" t="s">
        <v>536</v>
      </c>
      <c r="B5" s="4"/>
      <c r="C5" s="118"/>
      <c r="D5" s="118"/>
      <c r="E5" s="13" t="s">
        <v>537</v>
      </c>
      <c r="F5" s="4"/>
      <c r="G5" s="119"/>
      <c r="H5" s="120"/>
    </row>
    <row r="6" spans="1:8" s="55" customFormat="1" ht="12">
      <c r="A6" s="3" t="s">
        <v>538</v>
      </c>
      <c r="B6" s="4" t="s">
        <v>539</v>
      </c>
      <c r="C6" s="121">
        <f>本期合并底稿!J5</f>
        <v>712943572.89999998</v>
      </c>
      <c r="D6" s="121">
        <v>747483350.26999998</v>
      </c>
      <c r="E6" s="13" t="s">
        <v>540</v>
      </c>
      <c r="F6" s="4" t="s">
        <v>541</v>
      </c>
      <c r="G6" s="121">
        <f>本期合并底稿!J39</f>
        <v>0</v>
      </c>
      <c r="H6" s="122">
        <v>0</v>
      </c>
    </row>
    <row r="7" spans="1:8" s="55" customFormat="1" ht="24">
      <c r="A7" s="221" t="s">
        <v>748</v>
      </c>
      <c r="B7" s="4" t="s">
        <v>358</v>
      </c>
      <c r="C7" s="121">
        <f>本期合并底稿!J6</f>
        <v>680674198.27999997</v>
      </c>
      <c r="D7" s="121">
        <v>398839417.57999998</v>
      </c>
      <c r="E7" s="220" t="s">
        <v>751</v>
      </c>
      <c r="F7" s="4" t="s">
        <v>359</v>
      </c>
      <c r="G7" s="121">
        <f>本期合并底稿!J40</f>
        <v>0</v>
      </c>
      <c r="H7" s="122">
        <v>0</v>
      </c>
    </row>
    <row r="8" spans="1:8" s="55" customFormat="1" ht="12">
      <c r="A8" s="3" t="s">
        <v>542</v>
      </c>
      <c r="B8" s="4" t="s">
        <v>360</v>
      </c>
      <c r="C8" s="121">
        <f>本期合并底稿!J7</f>
        <v>1586604</v>
      </c>
      <c r="D8" s="121">
        <v>2235558.6</v>
      </c>
      <c r="E8" s="13" t="s">
        <v>543</v>
      </c>
      <c r="F8" s="4" t="s">
        <v>361</v>
      </c>
      <c r="G8" s="121">
        <f>本期合并底稿!J41</f>
        <v>0</v>
      </c>
      <c r="H8" s="122">
        <v>6399042.0899999999</v>
      </c>
    </row>
    <row r="9" spans="1:8" s="55" customFormat="1" ht="12">
      <c r="A9" s="3" t="s">
        <v>544</v>
      </c>
      <c r="B9" s="4" t="s">
        <v>362</v>
      </c>
      <c r="C9" s="121">
        <f>本期合并底稿!J8</f>
        <v>102579185.01000001</v>
      </c>
      <c r="D9" s="121">
        <v>324830671.73000002</v>
      </c>
      <c r="E9" s="13" t="s">
        <v>545</v>
      </c>
      <c r="F9" s="4" t="s">
        <v>363</v>
      </c>
      <c r="G9" s="121">
        <f>本期合并底稿!J42</f>
        <v>407802054.69</v>
      </c>
      <c r="H9" s="122">
        <v>804233685.21000004</v>
      </c>
    </row>
    <row r="10" spans="1:8" s="55" customFormat="1" ht="12">
      <c r="A10" s="3" t="s">
        <v>546</v>
      </c>
      <c r="B10" s="4" t="s">
        <v>364</v>
      </c>
      <c r="C10" s="121">
        <f>本期合并底稿!J9</f>
        <v>199825968.56</v>
      </c>
      <c r="D10" s="121">
        <v>696096092.01999998</v>
      </c>
      <c r="E10" s="13" t="s">
        <v>547</v>
      </c>
      <c r="F10" s="4" t="s">
        <v>365</v>
      </c>
      <c r="G10" s="121">
        <f>本期合并底稿!J43</f>
        <v>904523479.51999998</v>
      </c>
      <c r="H10" s="122">
        <v>1440869905.95</v>
      </c>
    </row>
    <row r="11" spans="1:8" s="55" customFormat="1" ht="12">
      <c r="A11" s="3" t="s">
        <v>548</v>
      </c>
      <c r="B11" s="4" t="s">
        <v>366</v>
      </c>
      <c r="C11" s="121">
        <f>本期合并底稿!J10</f>
        <v>582694.43999999994</v>
      </c>
      <c r="D11" s="121">
        <v>694756.94</v>
      </c>
      <c r="E11" s="13" t="s">
        <v>549</v>
      </c>
      <c r="F11" s="4" t="s">
        <v>367</v>
      </c>
      <c r="G11" s="121">
        <f>本期合并底稿!J44</f>
        <v>9102706.5700000003</v>
      </c>
      <c r="H11" s="122">
        <v>16486232.050000001</v>
      </c>
    </row>
    <row r="12" spans="1:8" s="55" customFormat="1" ht="12">
      <c r="A12" s="3" t="s">
        <v>550</v>
      </c>
      <c r="B12" s="4" t="s">
        <v>368</v>
      </c>
      <c r="C12" s="121">
        <f>本期合并底稿!J11</f>
        <v>616500</v>
      </c>
      <c r="D12" s="121">
        <v>0</v>
      </c>
      <c r="E12" s="13" t="s">
        <v>551</v>
      </c>
      <c r="F12" s="4" t="s">
        <v>369</v>
      </c>
      <c r="G12" s="121">
        <f>本期合并底稿!J48</f>
        <v>104508.72</v>
      </c>
      <c r="H12" s="122">
        <v>-1717942.37</v>
      </c>
    </row>
    <row r="13" spans="1:8" s="55" customFormat="1" ht="12">
      <c r="A13" s="3" t="s">
        <v>552</v>
      </c>
      <c r="B13" s="4" t="s">
        <v>370</v>
      </c>
      <c r="C13" s="121">
        <f>本期合并底稿!J12</f>
        <v>58743599.670000002</v>
      </c>
      <c r="D13" s="121">
        <v>65400097.299999997</v>
      </c>
      <c r="E13" s="13" t="s">
        <v>553</v>
      </c>
      <c r="F13" s="4" t="s">
        <v>371</v>
      </c>
      <c r="G13" s="121">
        <f>本期合并底稿!J49</f>
        <v>0</v>
      </c>
      <c r="H13" s="122">
        <v>0</v>
      </c>
    </row>
    <row r="14" spans="1:8" s="55" customFormat="1" ht="12">
      <c r="A14" s="3" t="s">
        <v>554</v>
      </c>
      <c r="B14" s="4" t="s">
        <v>372</v>
      </c>
      <c r="C14" s="121">
        <f>本期合并底稿!J13</f>
        <v>25295425.969999999</v>
      </c>
      <c r="D14" s="121">
        <v>31451593.030000001</v>
      </c>
      <c r="E14" s="13" t="s">
        <v>555</v>
      </c>
      <c r="F14" s="4" t="s">
        <v>373</v>
      </c>
      <c r="G14" s="121">
        <f>本期合并底稿!J50</f>
        <v>0</v>
      </c>
      <c r="H14" s="122">
        <v>54000</v>
      </c>
    </row>
    <row r="15" spans="1:8" s="55" customFormat="1" ht="12">
      <c r="A15" s="3" t="s">
        <v>556</v>
      </c>
      <c r="B15" s="4" t="s">
        <v>374</v>
      </c>
      <c r="C15" s="121">
        <f>本期合并底稿!J14</f>
        <v>112685457.12</v>
      </c>
      <c r="D15" s="121">
        <v>320358837.36000001</v>
      </c>
      <c r="E15" s="13" t="s">
        <v>557</v>
      </c>
      <c r="F15" s="4" t="s">
        <v>558</v>
      </c>
      <c r="G15" s="121">
        <f>本期合并底稿!J51</f>
        <v>342261191.67000002</v>
      </c>
      <c r="H15" s="122">
        <v>146421537.21000001</v>
      </c>
    </row>
    <row r="16" spans="1:8" s="55" customFormat="1" ht="12">
      <c r="A16" s="3" t="s">
        <v>779</v>
      </c>
      <c r="B16" s="4"/>
      <c r="C16" s="121">
        <f>本期合并底稿!J16</f>
        <v>0</v>
      </c>
      <c r="D16" s="121"/>
      <c r="E16" s="13" t="s">
        <v>781</v>
      </c>
      <c r="F16" s="4"/>
      <c r="G16" s="121">
        <f>本期合并底稿!J52</f>
        <v>0</v>
      </c>
      <c r="H16" s="122"/>
    </row>
    <row r="17" spans="1:8" s="55" customFormat="1" ht="12">
      <c r="A17" s="3" t="s">
        <v>559</v>
      </c>
      <c r="B17" s="4" t="s">
        <v>376</v>
      </c>
      <c r="C17" s="121">
        <f>本期合并底稿!J17</f>
        <v>0</v>
      </c>
      <c r="D17" s="121">
        <v>0</v>
      </c>
      <c r="E17" s="13" t="s">
        <v>559</v>
      </c>
      <c r="F17" s="4" t="s">
        <v>377</v>
      </c>
      <c r="G17" s="121">
        <f>本期合并底稿!J53</f>
        <v>0</v>
      </c>
      <c r="H17" s="122">
        <v>0</v>
      </c>
    </row>
    <row r="18" spans="1:8" s="55" customFormat="1" ht="12">
      <c r="A18" s="3" t="s">
        <v>560</v>
      </c>
      <c r="B18" s="4" t="s">
        <v>561</v>
      </c>
      <c r="C18" s="121">
        <f>本期合并底稿!J18</f>
        <v>0</v>
      </c>
      <c r="D18" s="121">
        <v>827545.15</v>
      </c>
      <c r="E18" s="13" t="s">
        <v>562</v>
      </c>
      <c r="F18" s="4" t="s">
        <v>563</v>
      </c>
      <c r="G18" s="121">
        <f>本期合并底稿!J54</f>
        <v>0</v>
      </c>
      <c r="H18" s="122">
        <v>0</v>
      </c>
    </row>
    <row r="19" spans="1:8" s="55" customFormat="1" ht="12">
      <c r="A19" s="66" t="s">
        <v>564</v>
      </c>
      <c r="B19" s="4" t="s">
        <v>565</v>
      </c>
      <c r="C19" s="119">
        <f>SUM(C6:C9,C10:C11,C12:C13,C15:C18)</f>
        <v>1870237779.98</v>
      </c>
      <c r="D19" s="119">
        <f>SUM(D6:D9,D10:D11,D12:D13,D15:D18)</f>
        <v>2556766326.9499998</v>
      </c>
      <c r="E19" s="67" t="s">
        <v>566</v>
      </c>
      <c r="F19" s="4" t="s">
        <v>567</v>
      </c>
      <c r="G19" s="119">
        <f>SUM(G6:G9,G10,G11:G15,G17:G18)</f>
        <v>1663793941.1700001</v>
      </c>
      <c r="H19" s="120">
        <f>SUM(H6:H9,H10,H11:H15,H17:H18)</f>
        <v>2412746460.1399999</v>
      </c>
    </row>
    <row r="20" spans="1:8" s="55" customFormat="1" ht="12">
      <c r="A20" s="3" t="s">
        <v>568</v>
      </c>
      <c r="B20" s="4"/>
      <c r="C20" s="119"/>
      <c r="D20" s="119"/>
      <c r="E20" s="13" t="s">
        <v>569</v>
      </c>
      <c r="F20" s="4" t="s">
        <v>570</v>
      </c>
      <c r="G20" s="119"/>
      <c r="H20" s="120"/>
    </row>
    <row r="21" spans="1:8" s="55" customFormat="1" ht="12">
      <c r="A21" s="3" t="s">
        <v>571</v>
      </c>
      <c r="B21" s="4" t="s">
        <v>572</v>
      </c>
      <c r="C21" s="121">
        <f>本期合并底稿!J21</f>
        <v>26457627.129999999</v>
      </c>
      <c r="D21" s="121"/>
      <c r="E21" s="13" t="s">
        <v>573</v>
      </c>
      <c r="F21" s="4" t="s">
        <v>381</v>
      </c>
      <c r="G21" s="121">
        <f>本期合并底稿!J57</f>
        <v>0</v>
      </c>
      <c r="H21" s="122">
        <v>0</v>
      </c>
    </row>
    <row r="22" spans="1:8" s="55" customFormat="1" ht="12">
      <c r="A22" s="3" t="s">
        <v>574</v>
      </c>
      <c r="B22" s="4" t="s">
        <v>382</v>
      </c>
      <c r="C22" s="121">
        <f>本期合并底稿!J22</f>
        <v>0</v>
      </c>
      <c r="D22" s="121"/>
      <c r="E22" s="13" t="s">
        <v>575</v>
      </c>
      <c r="F22" s="4" t="s">
        <v>383</v>
      </c>
      <c r="G22" s="121">
        <f>本期合并底稿!J58</f>
        <v>0</v>
      </c>
      <c r="H22" s="122">
        <v>0</v>
      </c>
    </row>
    <row r="23" spans="1:8" s="55" customFormat="1" ht="12">
      <c r="A23" s="3" t="s">
        <v>576</v>
      </c>
      <c r="B23" s="4" t="s">
        <v>384</v>
      </c>
      <c r="C23" s="121">
        <f>本期合并底稿!J23</f>
        <v>0</v>
      </c>
      <c r="D23" s="121"/>
      <c r="E23" s="13" t="s">
        <v>577</v>
      </c>
      <c r="F23" s="4" t="s">
        <v>385</v>
      </c>
      <c r="G23" s="121">
        <f>本期合并底稿!J59</f>
        <v>3643040.9</v>
      </c>
      <c r="H23" s="122">
        <v>3695208.9</v>
      </c>
    </row>
    <row r="24" spans="1:8" s="55" customFormat="1" ht="12">
      <c r="A24" s="3" t="s">
        <v>578</v>
      </c>
      <c r="B24" s="4" t="s">
        <v>386</v>
      </c>
      <c r="C24" s="121">
        <f>本期合并底稿!J24</f>
        <v>0</v>
      </c>
      <c r="D24" s="121"/>
      <c r="E24" s="13" t="s">
        <v>579</v>
      </c>
      <c r="F24" s="4" t="s">
        <v>387</v>
      </c>
      <c r="G24" s="121">
        <f>本期合并底稿!J60</f>
        <v>0</v>
      </c>
      <c r="H24" s="122">
        <v>0</v>
      </c>
    </row>
    <row r="25" spans="1:8" s="55" customFormat="1" ht="12">
      <c r="A25" s="68" t="s">
        <v>580</v>
      </c>
      <c r="B25" s="4" t="s">
        <v>388</v>
      </c>
      <c r="C25" s="121">
        <f>本期合并底稿!J25</f>
        <v>41946830.850000001</v>
      </c>
      <c r="D25" s="121">
        <v>126617936.51000001</v>
      </c>
      <c r="E25" s="13" t="s">
        <v>581</v>
      </c>
      <c r="F25" s="4" t="s">
        <v>582</v>
      </c>
      <c r="G25" s="121">
        <f>本期合并底稿!J61</f>
        <v>520607.34</v>
      </c>
      <c r="H25" s="122">
        <v>288900.03999999998</v>
      </c>
    </row>
    <row r="26" spans="1:8" s="55" customFormat="1" ht="12">
      <c r="A26" s="5" t="s">
        <v>583</v>
      </c>
      <c r="B26" s="4" t="s">
        <v>389</v>
      </c>
      <c r="C26" s="121">
        <f>本期合并底稿!J26</f>
        <v>19028410.739999998</v>
      </c>
      <c r="D26" s="121">
        <v>51161606.049999997</v>
      </c>
      <c r="E26" s="13" t="s">
        <v>584</v>
      </c>
      <c r="F26" s="4" t="s">
        <v>390</v>
      </c>
      <c r="G26" s="121">
        <f>本期合并底稿!J62</f>
        <v>0</v>
      </c>
      <c r="H26" s="122">
        <v>850000</v>
      </c>
    </row>
    <row r="27" spans="1:8" s="55" customFormat="1" ht="12">
      <c r="A27" s="5" t="s">
        <v>585</v>
      </c>
      <c r="B27" s="4" t="s">
        <v>391</v>
      </c>
      <c r="C27" s="119">
        <f>C25-C26</f>
        <v>22918420.109999999</v>
      </c>
      <c r="D27" s="119">
        <f>D25-D26</f>
        <v>75456330.459999993</v>
      </c>
      <c r="E27" s="67" t="s">
        <v>586</v>
      </c>
      <c r="F27" s="4" t="s">
        <v>392</v>
      </c>
      <c r="G27" s="119">
        <f>SUM(G21:G23,G24:G26)</f>
        <v>4163648.24</v>
      </c>
      <c r="H27" s="120">
        <f>SUM(H21:H23,H24:H26)</f>
        <v>4834108.9400000004</v>
      </c>
    </row>
    <row r="28" spans="1:8" s="55" customFormat="1" ht="12">
      <c r="A28" s="3" t="s">
        <v>587</v>
      </c>
      <c r="B28" s="4" t="s">
        <v>393</v>
      </c>
      <c r="C28" s="121">
        <f>本期合并底稿!J28</f>
        <v>0</v>
      </c>
      <c r="D28" s="121">
        <v>0</v>
      </c>
      <c r="E28" s="67" t="s">
        <v>588</v>
      </c>
      <c r="F28" s="4" t="s">
        <v>589</v>
      </c>
      <c r="G28" s="119">
        <f>SUM(G19,G27)</f>
        <v>1667957589.4100001</v>
      </c>
      <c r="H28" s="120">
        <f>SUM(H19,H27)</f>
        <v>2417580569.0799999</v>
      </c>
    </row>
    <row r="29" spans="1:8" s="55" customFormat="1" ht="12">
      <c r="A29" s="3" t="s">
        <v>590</v>
      </c>
      <c r="B29" s="4" t="s">
        <v>394</v>
      </c>
      <c r="C29" s="121"/>
      <c r="D29" s="121"/>
      <c r="E29" s="13" t="s">
        <v>591</v>
      </c>
      <c r="F29" s="4" t="s">
        <v>395</v>
      </c>
      <c r="G29" s="119"/>
      <c r="H29" s="120"/>
    </row>
    <row r="30" spans="1:8" s="55" customFormat="1" ht="12">
      <c r="A30" s="3" t="s">
        <v>592</v>
      </c>
      <c r="B30" s="4" t="s">
        <v>396</v>
      </c>
      <c r="C30" s="121"/>
      <c r="D30" s="121"/>
      <c r="E30" s="13" t="s">
        <v>593</v>
      </c>
      <c r="F30" s="4" t="s">
        <v>397</v>
      </c>
      <c r="G30" s="121">
        <f>本期合并底稿!J66</f>
        <v>80000000</v>
      </c>
      <c r="H30" s="121">
        <v>80000000</v>
      </c>
    </row>
    <row r="31" spans="1:8" s="55" customFormat="1" ht="12">
      <c r="A31" s="3" t="s">
        <v>594</v>
      </c>
      <c r="B31" s="4" t="s">
        <v>398</v>
      </c>
      <c r="C31" s="121">
        <f>本期合并底稿!J31</f>
        <v>68687.679999999993</v>
      </c>
      <c r="D31" s="121">
        <v>1081535.8400000001</v>
      </c>
      <c r="E31" s="13" t="s">
        <v>595</v>
      </c>
      <c r="F31" s="4" t="s">
        <v>399</v>
      </c>
      <c r="G31" s="121">
        <f>本期合并底稿!J67</f>
        <v>24991290.809999999</v>
      </c>
      <c r="H31" s="122">
        <v>24991290.809999999</v>
      </c>
    </row>
    <row r="32" spans="1:8" s="55" customFormat="1" ht="12">
      <c r="A32" s="3" t="s">
        <v>596</v>
      </c>
      <c r="B32" s="4" t="s">
        <v>400</v>
      </c>
      <c r="C32" s="121">
        <f>本期合并底稿!J32</f>
        <v>486467.37</v>
      </c>
      <c r="D32" s="121">
        <v>2807004.95</v>
      </c>
      <c r="E32" s="13" t="s">
        <v>795</v>
      </c>
      <c r="F32" s="4" t="s">
        <v>401</v>
      </c>
      <c r="G32" s="121">
        <f>本期合并底稿!J68</f>
        <v>-282243.18</v>
      </c>
      <c r="H32" s="122">
        <v>-306643.26</v>
      </c>
    </row>
    <row r="33" spans="1:8" s="55" customFormat="1" ht="12">
      <c r="A33" s="3" t="s">
        <v>597</v>
      </c>
      <c r="B33" s="4" t="s">
        <v>402</v>
      </c>
      <c r="C33" s="121">
        <f>本期合并底稿!J33</f>
        <v>10549366.42</v>
      </c>
      <c r="D33" s="121">
        <v>11996073.220000001</v>
      </c>
      <c r="E33" s="13" t="s">
        <v>598</v>
      </c>
      <c r="F33" s="4" t="s">
        <v>403</v>
      </c>
      <c r="G33" s="121">
        <f>本期合并底稿!J69</f>
        <v>40745328.390000001</v>
      </c>
      <c r="H33" s="122">
        <v>35024416.659999996</v>
      </c>
    </row>
    <row r="34" spans="1:8" s="55" customFormat="1" ht="12">
      <c r="A34" s="3"/>
      <c r="B34" s="4"/>
      <c r="C34" s="119"/>
      <c r="D34" s="119"/>
      <c r="E34" s="13" t="s">
        <v>599</v>
      </c>
      <c r="F34" s="4" t="s">
        <v>404</v>
      </c>
      <c r="G34" s="121">
        <f>本期合并底稿!J70</f>
        <v>33724331.039999999</v>
      </c>
      <c r="H34" s="122">
        <v>28008923.059999999</v>
      </c>
    </row>
    <row r="35" spans="1:8" s="55" customFormat="1" ht="12">
      <c r="A35" s="3"/>
      <c r="B35" s="4"/>
      <c r="C35" s="119"/>
      <c r="D35" s="119"/>
      <c r="E35" s="13" t="s">
        <v>600</v>
      </c>
      <c r="F35" s="4" t="s">
        <v>405</v>
      </c>
      <c r="G35" s="121">
        <f>本期合并底稿!J71</f>
        <v>7020997.3499999996</v>
      </c>
      <c r="H35" s="122">
        <v>7020997.3499999996</v>
      </c>
    </row>
    <row r="36" spans="1:8" s="55" customFormat="1" ht="12">
      <c r="A36" s="3"/>
      <c r="B36" s="4"/>
      <c r="C36" s="119"/>
      <c r="D36" s="119"/>
      <c r="E36" s="13" t="s">
        <v>601</v>
      </c>
      <c r="F36" s="4" t="s">
        <v>406</v>
      </c>
      <c r="G36" s="121">
        <f>本期合并底稿!J72</f>
        <v>102870486.81999999</v>
      </c>
      <c r="H36" s="122">
        <f>合并权益变动表!G10</f>
        <v>76650144.180000007</v>
      </c>
    </row>
    <row r="37" spans="1:8" s="55" customFormat="1" ht="12">
      <c r="A37" s="3"/>
      <c r="B37" s="4"/>
      <c r="C37" s="119"/>
      <c r="D37" s="119"/>
      <c r="E37" s="13" t="s">
        <v>602</v>
      </c>
      <c r="F37" s="4" t="s">
        <v>603</v>
      </c>
      <c r="G37" s="118">
        <f>SUM(G30:G33,G36)</f>
        <v>248324862.84</v>
      </c>
      <c r="H37" s="123">
        <f>SUM(H30:H33,H36:H36)</f>
        <v>216359208.38999999</v>
      </c>
    </row>
    <row r="38" spans="1:8" s="55" customFormat="1" ht="12">
      <c r="A38" s="3" t="s">
        <v>604</v>
      </c>
      <c r="B38" s="4" t="s">
        <v>605</v>
      </c>
      <c r="C38" s="121">
        <f>本期合并底稿!J34</f>
        <v>0</v>
      </c>
      <c r="D38" s="121">
        <v>0</v>
      </c>
      <c r="E38" s="13" t="s">
        <v>606</v>
      </c>
      <c r="F38" s="4" t="s">
        <v>607</v>
      </c>
      <c r="G38" s="121">
        <f>本期合并底稿!J74</f>
        <v>14435896.439999999</v>
      </c>
      <c r="H38" s="122">
        <v>14167493.949999999</v>
      </c>
    </row>
    <row r="39" spans="1:8" s="55" customFormat="1" ht="12">
      <c r="A39" s="66" t="s">
        <v>608</v>
      </c>
      <c r="B39" s="4" t="s">
        <v>609</v>
      </c>
      <c r="C39" s="119">
        <f>SUM(C21:C24,C27:C38)</f>
        <v>60480568.710000001</v>
      </c>
      <c r="D39" s="119">
        <f>SUM(D21:D24,D27:D38)</f>
        <v>91340944.469999999</v>
      </c>
      <c r="E39" s="67" t="s">
        <v>610</v>
      </c>
      <c r="F39" s="4" t="s">
        <v>611</v>
      </c>
      <c r="G39" s="119">
        <f>G37+G38</f>
        <v>262760759.28</v>
      </c>
      <c r="H39" s="120">
        <f>H37+H38</f>
        <v>230526702.34</v>
      </c>
    </row>
    <row r="40" spans="1:8" s="55" customFormat="1" ht="12">
      <c r="A40" s="69" t="s">
        <v>612</v>
      </c>
      <c r="B40" s="70" t="s">
        <v>613</v>
      </c>
      <c r="C40" s="124">
        <f>SUM(C19,C39)</f>
        <v>1930718348.6900001</v>
      </c>
      <c r="D40" s="124">
        <f>SUM(D19,D39)</f>
        <v>2648107271.4200001</v>
      </c>
      <c r="E40" s="71" t="s">
        <v>614</v>
      </c>
      <c r="F40" s="70" t="s">
        <v>615</v>
      </c>
      <c r="G40" s="124">
        <f>SUM(G28,G39)</f>
        <v>1930718348.6900001</v>
      </c>
      <c r="H40" s="125">
        <f>SUM(H28,H39)</f>
        <v>2648107271.4200001</v>
      </c>
    </row>
    <row r="41" spans="1:8">
      <c r="A41" s="228" t="s">
        <v>738</v>
      </c>
      <c r="B41" s="228"/>
      <c r="C41" s="228"/>
      <c r="D41" s="228"/>
      <c r="E41" s="228"/>
      <c r="F41" s="228"/>
      <c r="G41" s="228"/>
      <c r="H41" s="228"/>
    </row>
    <row r="42" spans="1:8">
      <c r="C42" s="109" t="str">
        <f>IF(ROUND(D40-H40,2)=0," ","期初资产负债不平")</f>
        <v xml:space="preserve"> </v>
      </c>
    </row>
    <row r="43" spans="1:8">
      <c r="C43" s="109" t="str">
        <f>IF(ROUND(C40-G40,2)=0," ","期末资产负债不平")</f>
        <v xml:space="preserve"> </v>
      </c>
      <c r="E43" s="111">
        <f>C40-G40</f>
        <v>0</v>
      </c>
    </row>
    <row r="44" spans="1:8" s="55" customFormat="1">
      <c r="A44" s="73"/>
      <c r="B44" s="74"/>
      <c r="C44" s="75"/>
      <c r="D44"/>
      <c r="E44"/>
      <c r="F44" s="76"/>
      <c r="G44"/>
      <c r="H44"/>
    </row>
    <row r="45" spans="1:8">
      <c r="C45" s="75"/>
    </row>
    <row r="46" spans="1:8">
      <c r="A46" s="77"/>
      <c r="C46" s="75"/>
    </row>
    <row r="47" spans="1:8">
      <c r="A47" s="77"/>
      <c r="C47" s="75"/>
    </row>
    <row r="48" spans="1:8">
      <c r="A48" s="77"/>
      <c r="C48" s="75"/>
    </row>
    <row r="49" spans="1:3">
      <c r="A49" s="77"/>
      <c r="C49" s="75"/>
    </row>
    <row r="50" spans="1:3">
      <c r="A50" s="77"/>
      <c r="C50" s="75"/>
    </row>
    <row r="51" spans="1:3">
      <c r="A51" s="77"/>
      <c r="C51" s="131"/>
    </row>
    <row r="52" spans="1:3">
      <c r="C52" s="132"/>
    </row>
    <row r="53" spans="1:3">
      <c r="C53" s="132"/>
    </row>
    <row r="54" spans="1:3">
      <c r="C54" s="133"/>
    </row>
    <row r="55" spans="1:3">
      <c r="C55" s="133"/>
    </row>
    <row r="56" spans="1:3">
      <c r="C56" s="133"/>
    </row>
    <row r="57" spans="1:3">
      <c r="C57" s="133"/>
    </row>
  </sheetData>
  <mergeCells count="4">
    <mergeCell ref="A1:H1"/>
    <mergeCell ref="A2:H2"/>
    <mergeCell ref="A3:H3"/>
    <mergeCell ref="A41:H41"/>
  </mergeCells>
  <phoneticPr fontId="3" type="noConversion"/>
  <printOptions horizontalCentered="1"/>
  <pageMargins left="0.27559055118110237" right="0.19685039370078741" top="0.27559055118110237" bottom="0.47244094488188981" header="0.23622047244094491" footer="0.27559055118110237"/>
  <pageSetup paperSize="9" orientation="landscape" verticalDpi="1200" r:id="rId1"/>
  <headerFooter alignWithMargins="0"/>
  <rowBreaks count="1" manualBreakCount="1">
    <brk id="43" max="16383" man="1"/>
  </rowBreaks>
</worksheet>
</file>

<file path=xl/worksheets/sheet3.xml><?xml version="1.0" encoding="utf-8"?>
<worksheet xmlns="http://schemas.openxmlformats.org/spreadsheetml/2006/main" xmlns:r="http://schemas.openxmlformats.org/officeDocument/2006/relationships">
  <sheetPr codeName="Sheet2"/>
  <dimension ref="A1:D58"/>
  <sheetViews>
    <sheetView workbookViewId="0">
      <pane xSplit="2" ySplit="4" topLeftCell="C47" activePane="bottomRight" state="frozen"/>
      <selection pane="topRight" activeCell="C1" sqref="C1"/>
      <selection pane="bottomLeft" activeCell="A5" sqref="A5"/>
      <selection pane="bottomRight" activeCell="E3" sqref="E3"/>
    </sheetView>
  </sheetViews>
  <sheetFormatPr defaultColWidth="9" defaultRowHeight="14.25"/>
  <cols>
    <col min="1" max="1" width="45.25" style="81" customWidth="1"/>
    <col min="2" max="2" width="3.125" style="93" customWidth="1"/>
    <col min="3" max="3" width="17.875" style="93" customWidth="1"/>
    <col min="4" max="4" width="18" style="81" bestFit="1" customWidth="1"/>
    <col min="5" max="16384" width="9" style="81"/>
  </cols>
  <sheetData>
    <row r="1" spans="1:4" s="78" customFormat="1" ht="28.5">
      <c r="A1" s="229" t="s">
        <v>407</v>
      </c>
      <c r="B1" s="229"/>
      <c r="C1" s="229"/>
      <c r="D1" s="229"/>
    </row>
    <row r="2" spans="1:4">
      <c r="A2" s="79"/>
      <c r="B2" s="80"/>
      <c r="C2" s="80"/>
      <c r="D2" s="63" t="s">
        <v>408</v>
      </c>
    </row>
    <row r="3" spans="1:4" s="82" customFormat="1" ht="12">
      <c r="A3" s="230" t="s">
        <v>842</v>
      </c>
      <c r="B3" s="230"/>
      <c r="C3" s="230"/>
      <c r="D3" s="230"/>
    </row>
    <row r="4" spans="1:4" s="82" customFormat="1" ht="12">
      <c r="A4" s="14" t="s">
        <v>52</v>
      </c>
      <c r="B4" s="15" t="s">
        <v>409</v>
      </c>
      <c r="C4" s="15" t="s">
        <v>410</v>
      </c>
      <c r="D4" s="83" t="s">
        <v>411</v>
      </c>
    </row>
    <row r="5" spans="1:4" s="82" customFormat="1" ht="12">
      <c r="A5" s="5" t="s">
        <v>53</v>
      </c>
      <c r="B5" s="4" t="s">
        <v>796</v>
      </c>
      <c r="C5" s="84">
        <f>本期合并底稿!J80</f>
        <v>669977981.34000003</v>
      </c>
      <c r="D5" s="85"/>
    </row>
    <row r="6" spans="1:4" s="82" customFormat="1" ht="12">
      <c r="A6" s="5" t="s">
        <v>54</v>
      </c>
      <c r="B6" s="4" t="s">
        <v>358</v>
      </c>
      <c r="C6" s="84">
        <f>本期合并底稿!J81</f>
        <v>663542549.61000001</v>
      </c>
      <c r="D6" s="85"/>
    </row>
    <row r="7" spans="1:4" s="82" customFormat="1" ht="12">
      <c r="A7" s="5" t="s">
        <v>55</v>
      </c>
      <c r="B7" s="4" t="s">
        <v>360</v>
      </c>
      <c r="C7" s="84">
        <f>本期合并底稿!J82</f>
        <v>6435431.7300000004</v>
      </c>
      <c r="D7" s="85"/>
    </row>
    <row r="8" spans="1:4" s="82" customFormat="1" ht="12">
      <c r="A8" s="5" t="s">
        <v>56</v>
      </c>
      <c r="B8" s="4" t="s">
        <v>413</v>
      </c>
      <c r="C8" s="86">
        <f>C9+C12+C13+C14+C15+C19</f>
        <v>656692035.79999995</v>
      </c>
      <c r="D8" s="87">
        <f>D9+D12+D13+D14+D15+D19</f>
        <v>0</v>
      </c>
    </row>
    <row r="9" spans="1:4" s="82" customFormat="1" ht="12">
      <c r="A9" s="5" t="s">
        <v>57</v>
      </c>
      <c r="B9" s="4" t="s">
        <v>364</v>
      </c>
      <c r="C9" s="84">
        <f>本期合并底稿!J84</f>
        <v>603270302.21000004</v>
      </c>
      <c r="D9" s="85"/>
    </row>
    <row r="10" spans="1:4" s="82" customFormat="1" ht="12">
      <c r="A10" s="5" t="s">
        <v>58</v>
      </c>
      <c r="B10" s="4" t="s">
        <v>366</v>
      </c>
      <c r="C10" s="84">
        <f>本期合并底稿!J85</f>
        <v>603270302.21000004</v>
      </c>
      <c r="D10" s="85"/>
    </row>
    <row r="11" spans="1:4" s="82" customFormat="1" ht="12">
      <c r="A11" s="5" t="s">
        <v>59</v>
      </c>
      <c r="B11" s="4" t="s">
        <v>414</v>
      </c>
      <c r="C11" s="84">
        <f>本期合并底稿!J86</f>
        <v>0</v>
      </c>
      <c r="D11" s="85"/>
    </row>
    <row r="12" spans="1:4" s="82" customFormat="1" ht="12">
      <c r="A12" s="5" t="s">
        <v>60</v>
      </c>
      <c r="B12" s="4" t="s">
        <v>368</v>
      </c>
      <c r="C12" s="84">
        <f>本期合并底稿!J87</f>
        <v>3606815.42</v>
      </c>
      <c r="D12" s="85"/>
    </row>
    <row r="13" spans="1:4" s="82" customFormat="1" ht="12">
      <c r="A13" s="5" t="s">
        <v>61</v>
      </c>
      <c r="B13" s="4" t="s">
        <v>370</v>
      </c>
      <c r="C13" s="84">
        <f>本期合并底稿!J88</f>
        <v>24031602.629999999</v>
      </c>
      <c r="D13" s="85"/>
    </row>
    <row r="14" spans="1:4" s="82" customFormat="1" ht="12">
      <c r="A14" s="5" t="s">
        <v>62</v>
      </c>
      <c r="B14" s="4" t="s">
        <v>372</v>
      </c>
      <c r="C14" s="84">
        <f>本期合并底稿!J89</f>
        <v>34774339.939999998</v>
      </c>
      <c r="D14" s="85"/>
    </row>
    <row r="15" spans="1:4" s="82" customFormat="1" ht="12">
      <c r="A15" s="5" t="s">
        <v>63</v>
      </c>
      <c r="B15" s="4" t="s">
        <v>415</v>
      </c>
      <c r="C15" s="84">
        <f>本期合并底稿!J90</f>
        <v>-11134873.210000001</v>
      </c>
      <c r="D15" s="85"/>
    </row>
    <row r="16" spans="1:4" s="82" customFormat="1" ht="12">
      <c r="A16" s="5" t="s">
        <v>64</v>
      </c>
      <c r="B16" s="4" t="s">
        <v>416</v>
      </c>
      <c r="C16" s="84">
        <f>本期合并底稿!J91</f>
        <v>-35000</v>
      </c>
      <c r="D16" s="85"/>
    </row>
    <row r="17" spans="1:4" s="82" customFormat="1" ht="12">
      <c r="A17" s="5" t="s">
        <v>65</v>
      </c>
      <c r="B17" s="4" t="s">
        <v>374</v>
      </c>
      <c r="C17" s="84">
        <f>本期合并底稿!J92</f>
        <v>8777114.9499999993</v>
      </c>
      <c r="D17" s="85"/>
    </row>
    <row r="18" spans="1:4" s="82" customFormat="1" ht="12">
      <c r="A18" s="5" t="s">
        <v>66</v>
      </c>
      <c r="B18" s="4" t="s">
        <v>417</v>
      </c>
      <c r="C18" s="84">
        <f>本期合并底稿!J93</f>
        <v>-4356914.6900000004</v>
      </c>
      <c r="D18" s="85"/>
    </row>
    <row r="19" spans="1:4" s="82" customFormat="1" ht="12">
      <c r="A19" s="5" t="s">
        <v>67</v>
      </c>
      <c r="B19" s="4" t="s">
        <v>418</v>
      </c>
      <c r="C19" s="84">
        <f>本期合并底稿!J94</f>
        <v>2143848.81</v>
      </c>
      <c r="D19" s="85"/>
    </row>
    <row r="20" spans="1:4" s="82" customFormat="1" ht="12">
      <c r="A20" s="5" t="s">
        <v>68</v>
      </c>
      <c r="B20" s="4" t="s">
        <v>419</v>
      </c>
      <c r="C20" s="84">
        <f>本期合并底稿!J95</f>
        <v>1038891.73</v>
      </c>
      <c r="D20" s="85"/>
    </row>
    <row r="21" spans="1:4" s="82" customFormat="1" ht="12">
      <c r="A21" s="5" t="s">
        <v>69</v>
      </c>
      <c r="B21" s="4" t="s">
        <v>420</v>
      </c>
      <c r="C21" s="84">
        <f>本期合并底稿!J96</f>
        <v>55099256.75</v>
      </c>
      <c r="D21" s="85"/>
    </row>
    <row r="22" spans="1:4" s="82" customFormat="1" ht="12">
      <c r="A22" s="5" t="s">
        <v>70</v>
      </c>
      <c r="B22" s="4" t="s">
        <v>421</v>
      </c>
      <c r="C22" s="84">
        <f>本期合并底稿!J97</f>
        <v>0</v>
      </c>
      <c r="D22" s="85"/>
    </row>
    <row r="23" spans="1:4" s="82" customFormat="1" ht="12">
      <c r="A23" s="5" t="s">
        <v>71</v>
      </c>
      <c r="B23" s="4" t="s">
        <v>376</v>
      </c>
      <c r="C23" s="86">
        <f>C5-C8+C20+C21</f>
        <v>69424094.019999996</v>
      </c>
      <c r="D23" s="87">
        <f>D5-D8+D20+D21</f>
        <v>0</v>
      </c>
    </row>
    <row r="24" spans="1:4" s="82" customFormat="1" ht="12">
      <c r="A24" s="5" t="s">
        <v>72</v>
      </c>
      <c r="B24" s="4" t="s">
        <v>422</v>
      </c>
      <c r="C24" s="84">
        <f>本期合并底稿!J99</f>
        <v>991043.37</v>
      </c>
      <c r="D24" s="85"/>
    </row>
    <row r="25" spans="1:4" s="82" customFormat="1" ht="12">
      <c r="A25" s="5" t="s">
        <v>73</v>
      </c>
      <c r="B25" s="4" t="s">
        <v>423</v>
      </c>
      <c r="C25" s="84">
        <f>本期合并底稿!J100</f>
        <v>18753.72</v>
      </c>
      <c r="D25" s="85"/>
    </row>
    <row r="26" spans="1:4" s="82" customFormat="1" ht="12">
      <c r="A26" s="5" t="s">
        <v>74</v>
      </c>
      <c r="B26" s="4" t="s">
        <v>424</v>
      </c>
      <c r="C26" s="84">
        <f>本期合并底稿!J101</f>
        <v>0</v>
      </c>
      <c r="D26" s="85"/>
    </row>
    <row r="27" spans="1:4" s="82" customFormat="1" ht="12">
      <c r="A27" s="5" t="s">
        <v>75</v>
      </c>
      <c r="B27" s="4" t="s">
        <v>425</v>
      </c>
      <c r="C27" s="84">
        <f>本期合并底稿!J102</f>
        <v>14477.23</v>
      </c>
      <c r="D27" s="85"/>
    </row>
    <row r="28" spans="1:4" s="82" customFormat="1" ht="12">
      <c r="A28" s="5" t="s">
        <v>790</v>
      </c>
      <c r="B28" s="4" t="s">
        <v>426</v>
      </c>
      <c r="C28" s="84">
        <f>本期合并底稿!J103</f>
        <v>0</v>
      </c>
      <c r="D28" s="85"/>
    </row>
    <row r="29" spans="1:4" s="82" customFormat="1" ht="12">
      <c r="A29" s="5" t="s">
        <v>76</v>
      </c>
      <c r="B29" s="4" t="s">
        <v>427</v>
      </c>
      <c r="C29" s="84">
        <f>本期合并底稿!J104</f>
        <v>338611.02</v>
      </c>
      <c r="D29" s="85"/>
    </row>
    <row r="30" spans="1:4" s="82" customFormat="1" ht="12">
      <c r="A30" s="5" t="s">
        <v>77</v>
      </c>
      <c r="B30" s="4" t="s">
        <v>428</v>
      </c>
      <c r="C30" s="84">
        <f>本期合并底稿!J105</f>
        <v>33624</v>
      </c>
      <c r="D30" s="85"/>
    </row>
    <row r="31" spans="1:4" s="82" customFormat="1" ht="12">
      <c r="A31" s="5" t="s">
        <v>793</v>
      </c>
      <c r="B31" s="4" t="s">
        <v>429</v>
      </c>
      <c r="C31" s="84">
        <f>本期合并底稿!J106</f>
        <v>281329</v>
      </c>
      <c r="D31" s="85"/>
    </row>
    <row r="32" spans="1:4" s="82" customFormat="1" ht="12">
      <c r="A32" s="5" t="s">
        <v>790</v>
      </c>
      <c r="B32" s="4" t="s">
        <v>430</v>
      </c>
      <c r="C32" s="84">
        <f>本期合并底稿!J107</f>
        <v>2000</v>
      </c>
      <c r="D32" s="85"/>
    </row>
    <row r="33" spans="1:4" s="82" customFormat="1" ht="12">
      <c r="A33" s="5" t="s">
        <v>78</v>
      </c>
      <c r="B33" s="4" t="s">
        <v>389</v>
      </c>
      <c r="C33" s="86">
        <f>C23+C24-C29</f>
        <v>70076526.370000005</v>
      </c>
      <c r="D33" s="87">
        <f>D23+D24-D29</f>
        <v>0</v>
      </c>
    </row>
    <row r="34" spans="1:4" s="82" customFormat="1" ht="12">
      <c r="A34" s="5" t="s">
        <v>79</v>
      </c>
      <c r="B34" s="4" t="s">
        <v>391</v>
      </c>
      <c r="C34" s="84">
        <f>本期合并底稿!J109</f>
        <v>8489769.5</v>
      </c>
      <c r="D34" s="85"/>
    </row>
    <row r="35" spans="1:4" s="82" customFormat="1" ht="12">
      <c r="A35" s="5" t="s">
        <v>80</v>
      </c>
      <c r="B35" s="4" t="s">
        <v>396</v>
      </c>
      <c r="C35" s="86">
        <f>C33-C34</f>
        <v>61586756.869999997</v>
      </c>
      <c r="D35" s="87">
        <f>D33-D34</f>
        <v>0</v>
      </c>
    </row>
    <row r="36" spans="1:4" s="82" customFormat="1" ht="12">
      <c r="A36" s="5" t="s">
        <v>81</v>
      </c>
      <c r="B36" s="4" t="s">
        <v>398</v>
      </c>
      <c r="C36" s="84">
        <f>本期合并底稿!J111</f>
        <v>3612402.5</v>
      </c>
      <c r="D36" s="85"/>
    </row>
    <row r="37" spans="1:4" s="82" customFormat="1" ht="12">
      <c r="A37" s="5" t="s">
        <v>784</v>
      </c>
      <c r="B37" s="4" t="s">
        <v>400</v>
      </c>
      <c r="C37" s="86">
        <f>C35-C36</f>
        <v>57974354.369999997</v>
      </c>
      <c r="D37" s="87">
        <f>D35-D36</f>
        <v>0</v>
      </c>
    </row>
    <row r="38" spans="1:4" s="82" customFormat="1" ht="12">
      <c r="A38" s="5" t="s">
        <v>785</v>
      </c>
      <c r="B38" s="4" t="s">
        <v>797</v>
      </c>
      <c r="C38" s="86">
        <f>C39+C49</f>
        <v>24400.080000000002</v>
      </c>
      <c r="D38" s="87">
        <f>D39+D49</f>
        <v>0</v>
      </c>
    </row>
    <row r="39" spans="1:4" s="82" customFormat="1" ht="12">
      <c r="A39" s="5" t="s">
        <v>758</v>
      </c>
      <c r="B39" s="4" t="s">
        <v>798</v>
      </c>
      <c r="C39" s="86">
        <f>C40+C43</f>
        <v>24400.080000000002</v>
      </c>
      <c r="D39" s="87">
        <f>D40+D43</f>
        <v>0</v>
      </c>
    </row>
    <row r="40" spans="1:4" s="82" customFormat="1" ht="12">
      <c r="A40" s="5" t="s">
        <v>759</v>
      </c>
      <c r="B40" s="4" t="s">
        <v>799</v>
      </c>
      <c r="C40" s="86">
        <f>SUM(C41:C42)</f>
        <v>0</v>
      </c>
      <c r="D40" s="87">
        <f>SUM(D41:D42)</f>
        <v>0</v>
      </c>
    </row>
    <row r="41" spans="1:4" s="82" customFormat="1" ht="12">
      <c r="A41" s="5" t="s">
        <v>760</v>
      </c>
      <c r="B41" s="4" t="s">
        <v>800</v>
      </c>
      <c r="C41" s="86"/>
      <c r="D41" s="87"/>
    </row>
    <row r="42" spans="1:4" s="82" customFormat="1" ht="24">
      <c r="A42" s="221" t="s">
        <v>761</v>
      </c>
      <c r="B42" s="4" t="s">
        <v>801</v>
      </c>
      <c r="C42" s="86"/>
      <c r="D42" s="87"/>
    </row>
    <row r="43" spans="1:4" s="82" customFormat="1" ht="12">
      <c r="A43" s="221" t="s">
        <v>762</v>
      </c>
      <c r="B43" s="4" t="s">
        <v>802</v>
      </c>
      <c r="C43" s="86">
        <f>SUM(C44:C48)</f>
        <v>24400.080000000002</v>
      </c>
      <c r="D43" s="87">
        <f>SUM(D44:D48)</f>
        <v>0</v>
      </c>
    </row>
    <row r="44" spans="1:4" s="82" customFormat="1" ht="24">
      <c r="A44" s="221" t="s">
        <v>763</v>
      </c>
      <c r="B44" s="4" t="s">
        <v>503</v>
      </c>
      <c r="C44" s="86"/>
      <c r="D44" s="87"/>
    </row>
    <row r="45" spans="1:4" s="82" customFormat="1" ht="12">
      <c r="A45" s="5" t="s">
        <v>764</v>
      </c>
      <c r="B45" s="4" t="s">
        <v>504</v>
      </c>
      <c r="C45" s="86"/>
      <c r="D45" s="87"/>
    </row>
    <row r="46" spans="1:4" s="82" customFormat="1" ht="12">
      <c r="A46" s="5" t="s">
        <v>765</v>
      </c>
      <c r="B46" s="4" t="s">
        <v>803</v>
      </c>
      <c r="C46" s="86"/>
      <c r="D46" s="87"/>
    </row>
    <row r="47" spans="1:4" s="82" customFormat="1" ht="12">
      <c r="A47" s="5" t="s">
        <v>766</v>
      </c>
      <c r="B47" s="4" t="s">
        <v>804</v>
      </c>
      <c r="C47" s="86"/>
      <c r="D47" s="87"/>
    </row>
    <row r="48" spans="1:4" s="82" customFormat="1" ht="12">
      <c r="A48" s="5" t="s">
        <v>767</v>
      </c>
      <c r="B48" s="4" t="s">
        <v>805</v>
      </c>
      <c r="C48" s="86">
        <f>本期合并底稿!J119</f>
        <v>24400.080000000002</v>
      </c>
      <c r="D48" s="87"/>
    </row>
    <row r="49" spans="1:4" s="82" customFormat="1" ht="12">
      <c r="A49" s="5" t="s">
        <v>768</v>
      </c>
      <c r="B49" s="4" t="s">
        <v>432</v>
      </c>
      <c r="C49" s="86"/>
      <c r="D49" s="87"/>
    </row>
    <row r="50" spans="1:4" s="82" customFormat="1" ht="12">
      <c r="A50" s="5" t="s">
        <v>787</v>
      </c>
      <c r="B50" s="4" t="s">
        <v>511</v>
      </c>
      <c r="C50" s="86">
        <f>C35+C38</f>
        <v>61611156.950000003</v>
      </c>
      <c r="D50" s="87">
        <f>D35+D38</f>
        <v>0</v>
      </c>
    </row>
    <row r="51" spans="1:4" s="82" customFormat="1" ht="12">
      <c r="A51" s="5" t="s">
        <v>806</v>
      </c>
      <c r="B51" s="4" t="s">
        <v>359</v>
      </c>
      <c r="C51" s="86">
        <f>C37+C39</f>
        <v>57998754.450000003</v>
      </c>
      <c r="D51" s="87">
        <f>D37+D39</f>
        <v>0</v>
      </c>
    </row>
    <row r="52" spans="1:4" s="82" customFormat="1" ht="12">
      <c r="A52" s="5" t="s">
        <v>788</v>
      </c>
      <c r="B52" s="4" t="s">
        <v>361</v>
      </c>
      <c r="C52" s="86">
        <f>C36+C49</f>
        <v>3612402.5</v>
      </c>
      <c r="D52" s="87">
        <f>D36+D49</f>
        <v>0</v>
      </c>
    </row>
    <row r="53" spans="1:4" s="82" customFormat="1" ht="12">
      <c r="A53" s="5" t="s">
        <v>807</v>
      </c>
      <c r="B53" s="4" t="s">
        <v>363</v>
      </c>
      <c r="C53" s="86"/>
      <c r="D53" s="87"/>
    </row>
    <row r="54" spans="1:4" s="82" customFormat="1" ht="12">
      <c r="A54" s="5" t="s">
        <v>431</v>
      </c>
      <c r="B54" s="4" t="s">
        <v>512</v>
      </c>
      <c r="C54" s="86">
        <f>C35/合并资产负债表!G30</f>
        <v>0.77</v>
      </c>
      <c r="D54" s="87">
        <f>D35/合并资产负债表!G30</f>
        <v>0</v>
      </c>
    </row>
    <row r="55" spans="1:4" s="82" customFormat="1" ht="12">
      <c r="A55" s="88" t="s">
        <v>433</v>
      </c>
      <c r="B55" s="70" t="s">
        <v>365</v>
      </c>
      <c r="C55" s="89">
        <f>C35/合并资产负债表!G30</f>
        <v>0.77</v>
      </c>
      <c r="D55" s="90">
        <f>D35/合并资产负债表!G30</f>
        <v>0</v>
      </c>
    </row>
    <row r="56" spans="1:4" s="82" customFormat="1" ht="12">
      <c r="A56" s="72" t="s">
        <v>435</v>
      </c>
      <c r="B56" s="72"/>
      <c r="C56" s="72"/>
      <c r="D56" s="72"/>
    </row>
    <row r="57" spans="1:4">
      <c r="A57" s="91"/>
      <c r="B57" s="92"/>
      <c r="C57" s="92"/>
      <c r="D57" s="82"/>
    </row>
    <row r="58" spans="1:4">
      <c r="A58" s="82"/>
      <c r="B58" s="92"/>
      <c r="C58" s="92"/>
      <c r="D58" s="82"/>
    </row>
  </sheetData>
  <mergeCells count="2">
    <mergeCell ref="A1:D1"/>
    <mergeCell ref="A3:D3"/>
  </mergeCells>
  <phoneticPr fontId="3" type="noConversion"/>
  <printOptions horizontalCentered="1"/>
  <pageMargins left="0.47244094488188981" right="0.35433070866141736" top="0.42" bottom="0.98425196850393704" header="0.23" footer="0.51181102362204722"/>
  <pageSetup paperSize="9" orientation="portrait" verticalDpi="1200" r:id="rId1"/>
  <headerFooter alignWithMargins="0"/>
</worksheet>
</file>

<file path=xl/worksheets/sheet4.xml><?xml version="1.0" encoding="utf-8"?>
<worksheet xmlns="http://schemas.openxmlformats.org/spreadsheetml/2006/main" xmlns:r="http://schemas.openxmlformats.org/officeDocument/2006/relationships">
  <sheetPr codeName="Sheet3"/>
  <dimension ref="A1:H81"/>
  <sheetViews>
    <sheetView zoomScale="130" zoomScaleNormal="130" workbookViewId="0">
      <pane xSplit="2" ySplit="4" topLeftCell="C26" activePane="bottomRight" state="frozen"/>
      <selection pane="topRight" activeCell="C1" sqref="C1"/>
      <selection pane="bottomLeft" activeCell="A5" sqref="A5"/>
      <selection pane="bottomRight" activeCell="A15" sqref="A15"/>
    </sheetView>
  </sheetViews>
  <sheetFormatPr defaultColWidth="9" defaultRowHeight="14.25"/>
  <cols>
    <col min="1" max="1" width="59.625" style="205" bestFit="1" customWidth="1"/>
    <col min="2" max="2" width="3" style="207" bestFit="1" customWidth="1"/>
    <col min="3" max="3" width="15.5" style="205" customWidth="1"/>
    <col min="4" max="4" width="15.5" style="205" bestFit="1" customWidth="1"/>
    <col min="5" max="5" width="15.5" style="112" hidden="1" customWidth="1"/>
    <col min="6" max="6" width="14.75" style="81" bestFit="1" customWidth="1"/>
    <col min="7" max="16384" width="9" style="81"/>
  </cols>
  <sheetData>
    <row r="1" spans="1:5" ht="28.5">
      <c r="A1" s="233" t="s">
        <v>522</v>
      </c>
      <c r="B1" s="233"/>
      <c r="C1" s="233"/>
      <c r="D1" s="233"/>
    </row>
    <row r="2" spans="1:5" s="94" customFormat="1" ht="11.25">
      <c r="A2" s="234" t="s">
        <v>475</v>
      </c>
      <c r="B2" s="234"/>
      <c r="C2" s="234"/>
      <c r="D2" s="234"/>
      <c r="E2" s="113"/>
    </row>
    <row r="3" spans="1:5" s="94" customFormat="1" ht="11.25">
      <c r="A3" s="232" t="s">
        <v>843</v>
      </c>
      <c r="B3" s="232"/>
      <c r="C3" s="232"/>
      <c r="D3" s="232"/>
      <c r="E3" s="113"/>
    </row>
    <row r="4" spans="1:5" s="95" customFormat="1" ht="11.25">
      <c r="A4" s="174" t="s">
        <v>87</v>
      </c>
      <c r="B4" s="175" t="s">
        <v>353</v>
      </c>
      <c r="C4" s="176" t="s">
        <v>476</v>
      </c>
      <c r="D4" s="177" t="s">
        <v>477</v>
      </c>
      <c r="E4" s="114" t="s">
        <v>718</v>
      </c>
    </row>
    <row r="5" spans="1:5" s="95" customFormat="1" ht="11.25">
      <c r="A5" s="178" t="s">
        <v>88</v>
      </c>
      <c r="B5" s="179"/>
      <c r="C5" s="180"/>
      <c r="D5" s="181"/>
      <c r="E5" s="115"/>
    </row>
    <row r="6" spans="1:5" s="95" customFormat="1" ht="11.25">
      <c r="A6" s="182" t="s">
        <v>89</v>
      </c>
      <c r="B6" s="179" t="s">
        <v>357</v>
      </c>
      <c r="C6" s="183">
        <f>本期合并底稿!J151</f>
        <v>2869374861.8400002</v>
      </c>
      <c r="D6" s="184"/>
      <c r="E6" s="116">
        <v>2615677205.9699998</v>
      </c>
    </row>
    <row r="7" spans="1:5" s="95" customFormat="1" ht="11.25">
      <c r="A7" s="182" t="s">
        <v>90</v>
      </c>
      <c r="B7" s="179" t="s">
        <v>360</v>
      </c>
      <c r="C7" s="183">
        <f>本期合并底稿!J152</f>
        <v>24209192.48</v>
      </c>
      <c r="D7" s="184"/>
      <c r="E7" s="116">
        <v>26574048.5</v>
      </c>
    </row>
    <row r="8" spans="1:5" s="95" customFormat="1" ht="11.25">
      <c r="A8" s="182" t="s">
        <v>91</v>
      </c>
      <c r="B8" s="179" t="s">
        <v>478</v>
      </c>
      <c r="C8" s="183">
        <f>本期合并底稿!J153</f>
        <v>387132220.16000003</v>
      </c>
      <c r="D8" s="184"/>
      <c r="E8" s="116">
        <v>264333832.44</v>
      </c>
    </row>
    <row r="9" spans="1:5" s="95" customFormat="1" ht="11.25">
      <c r="A9" s="185" t="s">
        <v>92</v>
      </c>
      <c r="B9" s="179" t="s">
        <v>479</v>
      </c>
      <c r="C9" s="180">
        <f>SUM(C6:C8)</f>
        <v>3280716274.48</v>
      </c>
      <c r="D9" s="181">
        <f>SUM(D6:D8)</f>
        <v>0</v>
      </c>
      <c r="E9" s="116">
        <f>SUM(E6:E8)</f>
        <v>2906585086.9099998</v>
      </c>
    </row>
    <row r="10" spans="1:5" s="95" customFormat="1" ht="11.25">
      <c r="A10" s="182" t="s">
        <v>93</v>
      </c>
      <c r="B10" s="179" t="s">
        <v>94</v>
      </c>
      <c r="C10" s="183">
        <f>本期合并底稿!J155</f>
        <v>2874721054.0700002</v>
      </c>
      <c r="D10" s="184"/>
      <c r="E10" s="116">
        <v>2600277159.9899998</v>
      </c>
    </row>
    <row r="11" spans="1:5" s="95" customFormat="1" ht="11.25">
      <c r="A11" s="182" t="s">
        <v>95</v>
      </c>
      <c r="B11" s="179" t="s">
        <v>480</v>
      </c>
      <c r="C11" s="183">
        <f>本期合并底稿!J156</f>
        <v>29092081.539999999</v>
      </c>
      <c r="D11" s="184"/>
      <c r="E11" s="116">
        <v>37933648.340000004</v>
      </c>
    </row>
    <row r="12" spans="1:5" s="95" customFormat="1" ht="11.25">
      <c r="A12" s="182" t="s">
        <v>96</v>
      </c>
      <c r="B12" s="179" t="s">
        <v>97</v>
      </c>
      <c r="C12" s="183">
        <f>本期合并底稿!J157</f>
        <v>18381598.18</v>
      </c>
      <c r="D12" s="184"/>
      <c r="E12" s="116">
        <v>42467302.920000002</v>
      </c>
    </row>
    <row r="13" spans="1:5" s="95" customFormat="1" ht="11.25">
      <c r="A13" s="182" t="s">
        <v>98</v>
      </c>
      <c r="B13" s="179" t="s">
        <v>481</v>
      </c>
      <c r="C13" s="183">
        <f>本期合并底稿!J158</f>
        <v>54358372.659999996</v>
      </c>
      <c r="D13" s="184"/>
      <c r="E13" s="116">
        <v>104853092.81999999</v>
      </c>
    </row>
    <row r="14" spans="1:5" s="95" customFormat="1" ht="11.25">
      <c r="A14" s="185" t="s">
        <v>99</v>
      </c>
      <c r="B14" s="179" t="s">
        <v>482</v>
      </c>
      <c r="C14" s="180">
        <f>SUM(C10:C13)</f>
        <v>2976553106.4499998</v>
      </c>
      <c r="D14" s="181">
        <f>SUM(D10:D13)</f>
        <v>0</v>
      </c>
      <c r="E14" s="116">
        <f>SUM(E10:E13)</f>
        <v>2785531204.0700002</v>
      </c>
    </row>
    <row r="15" spans="1:5" s="95" customFormat="1" ht="11.25">
      <c r="A15" s="182" t="s">
        <v>100</v>
      </c>
      <c r="B15" s="179" t="s">
        <v>483</v>
      </c>
      <c r="C15" s="180">
        <f>C9-C14</f>
        <v>304163168.02999997</v>
      </c>
      <c r="D15" s="181">
        <f>D9-D14</f>
        <v>0</v>
      </c>
      <c r="E15" s="116">
        <f>E9-E14</f>
        <v>121053882.84</v>
      </c>
    </row>
    <row r="16" spans="1:5" s="95" customFormat="1" ht="11.25">
      <c r="A16" s="178" t="s">
        <v>101</v>
      </c>
      <c r="B16" s="179"/>
      <c r="C16" s="180"/>
      <c r="D16" s="181"/>
      <c r="E16" s="116"/>
    </row>
    <row r="17" spans="1:5" s="95" customFormat="1" ht="11.25">
      <c r="A17" s="182" t="s">
        <v>102</v>
      </c>
      <c r="B17" s="179" t="s">
        <v>484</v>
      </c>
      <c r="C17" s="183">
        <f>本期合并底稿!J162</f>
        <v>293029428.19999999</v>
      </c>
      <c r="D17" s="184"/>
      <c r="E17" s="116">
        <v>209496960</v>
      </c>
    </row>
    <row r="18" spans="1:5" s="95" customFormat="1" ht="11.25">
      <c r="A18" s="182" t="s">
        <v>103</v>
      </c>
      <c r="B18" s="179" t="s">
        <v>485</v>
      </c>
      <c r="C18" s="183">
        <f>本期合并底稿!J163</f>
        <v>41169231.399999999</v>
      </c>
      <c r="D18" s="184"/>
      <c r="E18" s="116">
        <v>27041280.09</v>
      </c>
    </row>
    <row r="19" spans="1:5" s="95" customFormat="1" ht="11.25">
      <c r="A19" s="182" t="s">
        <v>104</v>
      </c>
      <c r="B19" s="179" t="s">
        <v>486</v>
      </c>
      <c r="C19" s="183">
        <f>本期合并底稿!J164</f>
        <v>41080</v>
      </c>
      <c r="D19" s="184"/>
      <c r="E19" s="116">
        <v>162709.29999999999</v>
      </c>
    </row>
    <row r="20" spans="1:5" s="95" customFormat="1" ht="11.25">
      <c r="A20" s="182" t="s">
        <v>105</v>
      </c>
      <c r="B20" s="179" t="s">
        <v>426</v>
      </c>
      <c r="C20" s="183">
        <f>本期合并底稿!J165</f>
        <v>0</v>
      </c>
      <c r="D20" s="184"/>
      <c r="E20" s="116">
        <v>1103597.19</v>
      </c>
    </row>
    <row r="21" spans="1:5" s="95" customFormat="1" ht="11.25">
      <c r="A21" s="182" t="s">
        <v>106</v>
      </c>
      <c r="B21" s="179" t="s">
        <v>378</v>
      </c>
      <c r="C21" s="183">
        <f>本期合并底稿!J166</f>
        <v>360000</v>
      </c>
      <c r="D21" s="184"/>
      <c r="E21" s="116">
        <v>179885558.47999999</v>
      </c>
    </row>
    <row r="22" spans="1:5" s="95" customFormat="1" ht="11.25">
      <c r="A22" s="185" t="s">
        <v>85</v>
      </c>
      <c r="B22" s="179" t="s">
        <v>487</v>
      </c>
      <c r="C22" s="180">
        <f>SUM(C17:C21)</f>
        <v>334599739.60000002</v>
      </c>
      <c r="D22" s="181">
        <f>SUM(D17:D21)</f>
        <v>0</v>
      </c>
      <c r="E22" s="116">
        <f>SUM(E17:E21)</f>
        <v>417690105.06</v>
      </c>
    </row>
    <row r="23" spans="1:5" s="95" customFormat="1" ht="11.25">
      <c r="A23" s="182" t="s">
        <v>107</v>
      </c>
      <c r="B23" s="179" t="s">
        <v>488</v>
      </c>
      <c r="C23" s="183">
        <f>本期合并底稿!J168</f>
        <v>342137.33</v>
      </c>
      <c r="D23" s="184"/>
      <c r="E23" s="116">
        <v>9380219.9800000004</v>
      </c>
    </row>
    <row r="24" spans="1:5" s="95" customFormat="1" ht="11.25">
      <c r="A24" s="182" t="s">
        <v>108</v>
      </c>
      <c r="B24" s="179" t="s">
        <v>489</v>
      </c>
      <c r="C24" s="183">
        <f>本期合并底稿!J169</f>
        <v>635838064.29999995</v>
      </c>
      <c r="D24" s="184"/>
      <c r="E24" s="116">
        <v>412494327.30000001</v>
      </c>
    </row>
    <row r="25" spans="1:5" s="95" customFormat="1" ht="11.25">
      <c r="A25" s="182" t="s">
        <v>109</v>
      </c>
      <c r="B25" s="179" t="s">
        <v>490</v>
      </c>
      <c r="C25" s="183">
        <f>本期合并底稿!J170</f>
        <v>0</v>
      </c>
      <c r="D25" s="184"/>
      <c r="E25" s="116">
        <v>0</v>
      </c>
    </row>
    <row r="26" spans="1:5" s="95" customFormat="1" ht="11.25">
      <c r="A26" s="182" t="s">
        <v>110</v>
      </c>
      <c r="B26" s="179" t="s">
        <v>379</v>
      </c>
      <c r="C26" s="183">
        <f>本期合并底稿!J171</f>
        <v>41548</v>
      </c>
      <c r="D26" s="184"/>
      <c r="E26" s="116">
        <v>179596040.87</v>
      </c>
    </row>
    <row r="27" spans="1:5" s="95" customFormat="1" ht="11.25">
      <c r="A27" s="185" t="s">
        <v>86</v>
      </c>
      <c r="B27" s="179" t="s">
        <v>380</v>
      </c>
      <c r="C27" s="180">
        <f>SUM(C23:C26)</f>
        <v>636221749.63</v>
      </c>
      <c r="D27" s="181">
        <f>SUM(D23:D26)</f>
        <v>0</v>
      </c>
      <c r="E27" s="116">
        <f>SUM(E23:E26)</f>
        <v>601470588.14999998</v>
      </c>
    </row>
    <row r="28" spans="1:5" s="95" customFormat="1" ht="11.25">
      <c r="A28" s="182" t="s">
        <v>111</v>
      </c>
      <c r="B28" s="179" t="s">
        <v>491</v>
      </c>
      <c r="C28" s="180">
        <f>C22-C27</f>
        <v>-301622010.02999997</v>
      </c>
      <c r="D28" s="181">
        <f>D22-D27</f>
        <v>0</v>
      </c>
      <c r="E28" s="116">
        <f>E22-E27</f>
        <v>-183780483.09</v>
      </c>
    </row>
    <row r="29" spans="1:5" s="95" customFormat="1" ht="11.25">
      <c r="A29" s="178" t="s">
        <v>112</v>
      </c>
      <c r="B29" s="179"/>
      <c r="C29" s="180"/>
      <c r="D29" s="181"/>
      <c r="E29" s="116"/>
    </row>
    <row r="30" spans="1:5" s="95" customFormat="1" ht="11.25">
      <c r="A30" s="182" t="s">
        <v>113</v>
      </c>
      <c r="B30" s="179" t="s">
        <v>492</v>
      </c>
      <c r="C30" s="183">
        <f>本期合并底稿!J175</f>
        <v>0</v>
      </c>
      <c r="D30" s="184"/>
      <c r="E30" s="116">
        <v>720</v>
      </c>
    </row>
    <row r="31" spans="1:5" s="95" customFormat="1" ht="11.25">
      <c r="A31" s="182" t="s">
        <v>114</v>
      </c>
      <c r="B31" s="179" t="s">
        <v>386</v>
      </c>
      <c r="C31" s="183">
        <f>本期合并底稿!J176</f>
        <v>0</v>
      </c>
      <c r="D31" s="184"/>
      <c r="E31" s="116">
        <v>0</v>
      </c>
    </row>
    <row r="32" spans="1:5" s="95" customFormat="1" ht="11.25">
      <c r="A32" s="182" t="s">
        <v>115</v>
      </c>
      <c r="B32" s="179" t="s">
        <v>493</v>
      </c>
      <c r="C32" s="183">
        <f>本期合并底稿!J177</f>
        <v>-6000000</v>
      </c>
      <c r="D32" s="184"/>
      <c r="E32" s="116">
        <v>4500000</v>
      </c>
    </row>
    <row r="33" spans="1:8" s="95" customFormat="1" ht="11.25">
      <c r="A33" s="182" t="s">
        <v>116</v>
      </c>
      <c r="B33" s="179" t="s">
        <v>494</v>
      </c>
      <c r="C33" s="183">
        <f>本期合并底稿!J178</f>
        <v>0</v>
      </c>
      <c r="D33" s="184"/>
      <c r="E33" s="116">
        <v>0</v>
      </c>
    </row>
    <row r="34" spans="1:8" s="95" customFormat="1" ht="11.25">
      <c r="A34" s="186" t="s">
        <v>117</v>
      </c>
      <c r="B34" s="187" t="s">
        <v>495</v>
      </c>
      <c r="C34" s="188">
        <f>SUM(C30,C32:C33)</f>
        <v>-6000000</v>
      </c>
      <c r="D34" s="181">
        <f>SUM(D30,D32:D33)</f>
        <v>0</v>
      </c>
      <c r="E34" s="116">
        <f>SUM(E30,E32:E33)</f>
        <v>4500720</v>
      </c>
    </row>
    <row r="35" spans="1:8" s="95" customFormat="1" ht="11.25">
      <c r="A35" s="182" t="s">
        <v>118</v>
      </c>
      <c r="B35" s="179" t="s">
        <v>496</v>
      </c>
      <c r="C35" s="183">
        <f>本期合并底稿!J180</f>
        <v>-1000000</v>
      </c>
      <c r="D35" s="184"/>
      <c r="E35" s="116">
        <v>10535046</v>
      </c>
    </row>
    <row r="36" spans="1:8" s="95" customFormat="1" ht="11.25">
      <c r="A36" s="182" t="s">
        <v>119</v>
      </c>
      <c r="B36" s="179" t="s">
        <v>497</v>
      </c>
      <c r="C36" s="183">
        <f>本期合并底稿!J181</f>
        <v>29396100</v>
      </c>
      <c r="D36" s="184"/>
      <c r="E36" s="116">
        <v>47181312.490000002</v>
      </c>
    </row>
    <row r="37" spans="1:8" s="95" customFormat="1" ht="11.25">
      <c r="A37" s="182" t="s">
        <v>120</v>
      </c>
      <c r="B37" s="179" t="s">
        <v>400</v>
      </c>
      <c r="C37" s="183">
        <f>本期合并底稿!J182</f>
        <v>0</v>
      </c>
      <c r="D37" s="184"/>
      <c r="E37" s="116">
        <v>0</v>
      </c>
    </row>
    <row r="38" spans="1:8" s="95" customFormat="1" ht="11.25">
      <c r="A38" s="182" t="s">
        <v>121</v>
      </c>
      <c r="B38" s="179" t="s">
        <v>498</v>
      </c>
      <c r="C38" s="183">
        <f>本期合并底稿!J183</f>
        <v>0</v>
      </c>
      <c r="D38" s="184"/>
      <c r="E38" s="116">
        <v>0</v>
      </c>
    </row>
    <row r="39" spans="1:8" s="95" customFormat="1" ht="11.25">
      <c r="A39" s="185" t="s">
        <v>122</v>
      </c>
      <c r="B39" s="179" t="s">
        <v>499</v>
      </c>
      <c r="C39" s="180">
        <f>SUM(C35:C36,C38)</f>
        <v>28396100</v>
      </c>
      <c r="D39" s="181">
        <f>SUM(D35:D36,D38)</f>
        <v>0</v>
      </c>
      <c r="E39" s="116">
        <f>SUM(E35:E36,E38)</f>
        <v>57716358.490000002</v>
      </c>
    </row>
    <row r="40" spans="1:8" s="95" customFormat="1" ht="11.25">
      <c r="A40" s="182" t="s">
        <v>123</v>
      </c>
      <c r="B40" s="179" t="s">
        <v>500</v>
      </c>
      <c r="C40" s="180">
        <f>C34-C39</f>
        <v>-34396100</v>
      </c>
      <c r="D40" s="181">
        <f>D34-D39</f>
        <v>0</v>
      </c>
      <c r="E40" s="116">
        <f>E34-E39</f>
        <v>-53215638.490000002</v>
      </c>
    </row>
    <row r="41" spans="1:8" s="95" customFormat="1" ht="11.25">
      <c r="A41" s="178" t="s">
        <v>124</v>
      </c>
      <c r="B41" s="179" t="s">
        <v>501</v>
      </c>
      <c r="C41" s="183">
        <f>本期合并底稿!J186</f>
        <v>315164.63</v>
      </c>
      <c r="D41" s="184"/>
      <c r="E41" s="116">
        <v>442994.78</v>
      </c>
    </row>
    <row r="42" spans="1:8" s="95" customFormat="1" ht="11.25">
      <c r="A42" s="189" t="s">
        <v>125</v>
      </c>
      <c r="B42" s="187" t="s">
        <v>502</v>
      </c>
      <c r="C42" s="188">
        <f>SUM(C15,C28,C40,C41)</f>
        <v>-31539777.370000001</v>
      </c>
      <c r="D42" s="190">
        <f>SUM(D15,D28,D40,D41)</f>
        <v>0</v>
      </c>
      <c r="E42" s="116">
        <f>SUM(E15,E28,E40,E41)</f>
        <v>-115499243.95999999</v>
      </c>
    </row>
    <row r="43" spans="1:8" s="95" customFormat="1" ht="11.25">
      <c r="A43" s="182" t="s">
        <v>126</v>
      </c>
      <c r="B43" s="187" t="s">
        <v>503</v>
      </c>
      <c r="C43" s="191">
        <f>本期合并底稿!J188</f>
        <v>747483350.26999998</v>
      </c>
      <c r="D43" s="184"/>
      <c r="E43" s="116">
        <v>825580990.52999997</v>
      </c>
    </row>
    <row r="44" spans="1:8" s="95" customFormat="1" ht="11.25">
      <c r="A44" s="192" t="s">
        <v>127</v>
      </c>
      <c r="B44" s="193" t="s">
        <v>504</v>
      </c>
      <c r="C44" s="194">
        <f>C42+C43</f>
        <v>715943572.89999998</v>
      </c>
      <c r="D44" s="195">
        <f>D42+D43</f>
        <v>0</v>
      </c>
      <c r="E44" s="116">
        <f>E42+E43</f>
        <v>710081746.57000005</v>
      </c>
      <c r="F44" s="126">
        <f>C44-合并资产负债表!C6</f>
        <v>3000000</v>
      </c>
    </row>
    <row r="45" spans="1:8" s="95" customFormat="1" ht="12">
      <c r="A45" s="235" t="s">
        <v>739</v>
      </c>
      <c r="B45" s="235"/>
      <c r="C45" s="235"/>
      <c r="D45" s="235"/>
      <c r="E45" s="173"/>
      <c r="F45" s="173"/>
      <c r="G45" s="173"/>
      <c r="H45" s="173"/>
    </row>
    <row r="46" spans="1:8" s="95" customFormat="1" ht="11.25">
      <c r="A46" s="196" t="str">
        <f>IF(ABS(INT((C44-合并资产负债表!C6)*100+0.5))=0," ","本年现金净流量统计与货币资金有差额")</f>
        <v>本年现金净流量统计与货币资金有差额</v>
      </c>
      <c r="B46" s="197"/>
      <c r="C46" s="198">
        <f>C44-合并资产负债表!C6</f>
        <v>3000000</v>
      </c>
      <c r="D46" s="198"/>
      <c r="E46" s="115"/>
    </row>
    <row r="47" spans="1:8" s="95" customFormat="1" ht="11.25">
      <c r="A47" s="199"/>
      <c r="B47" s="197"/>
      <c r="C47" s="198"/>
      <c r="D47" s="198"/>
      <c r="E47" s="115"/>
    </row>
    <row r="48" spans="1:8" s="95" customFormat="1" ht="12">
      <c r="A48" s="231" t="s">
        <v>523</v>
      </c>
      <c r="B48" s="231"/>
      <c r="C48" s="231"/>
      <c r="D48" s="231"/>
      <c r="E48" s="115"/>
    </row>
    <row r="49" spans="1:5" s="95" customFormat="1" ht="11.25">
      <c r="A49" s="232" t="s">
        <v>741</v>
      </c>
      <c r="B49" s="232"/>
      <c r="C49" s="232"/>
      <c r="D49" s="232"/>
      <c r="E49" s="115"/>
    </row>
    <row r="50" spans="1:5" s="95" customFormat="1" ht="11.25">
      <c r="A50" s="174" t="s">
        <v>87</v>
      </c>
      <c r="B50" s="175" t="s">
        <v>353</v>
      </c>
      <c r="C50" s="176" t="s">
        <v>476</v>
      </c>
      <c r="D50" s="177" t="s">
        <v>477</v>
      </c>
      <c r="E50" s="115"/>
    </row>
    <row r="51" spans="1:5" s="95" customFormat="1" ht="12">
      <c r="A51" s="200" t="s">
        <v>742</v>
      </c>
      <c r="B51" s="179"/>
      <c r="C51" s="180"/>
      <c r="D51" s="181"/>
      <c r="E51" s="115"/>
    </row>
    <row r="52" spans="1:5" s="95" customFormat="1" ht="11.25">
      <c r="A52" s="182" t="s">
        <v>128</v>
      </c>
      <c r="B52" s="179" t="s">
        <v>505</v>
      </c>
      <c r="C52" s="180">
        <f>合并利润表!C35</f>
        <v>61586756.869999997</v>
      </c>
      <c r="D52" s="184">
        <f>合并利润表!D35</f>
        <v>0</v>
      </c>
      <c r="E52" s="115"/>
    </row>
    <row r="53" spans="1:5" s="95" customFormat="1" ht="11.25">
      <c r="A53" s="182" t="s">
        <v>129</v>
      </c>
      <c r="B53" s="179" t="s">
        <v>432</v>
      </c>
      <c r="C53" s="183">
        <f>本期合并底稿!J194</f>
        <v>2143848.81</v>
      </c>
      <c r="D53" s="184"/>
      <c r="E53" s="115"/>
    </row>
    <row r="54" spans="1:5" s="95" customFormat="1" ht="11.25">
      <c r="A54" s="182" t="s">
        <v>130</v>
      </c>
      <c r="B54" s="179" t="s">
        <v>434</v>
      </c>
      <c r="C54" s="183">
        <f>本期合并底稿!J195</f>
        <v>1890722.35</v>
      </c>
      <c r="D54" s="184"/>
      <c r="E54" s="115"/>
    </row>
    <row r="55" spans="1:5" s="95" customFormat="1" ht="11.25">
      <c r="A55" s="182" t="s">
        <v>131</v>
      </c>
      <c r="B55" s="179" t="s">
        <v>506</v>
      </c>
      <c r="C55" s="183">
        <f>本期合并底稿!J196</f>
        <v>14173.4</v>
      </c>
      <c r="D55" s="184"/>
      <c r="E55" s="115"/>
    </row>
    <row r="56" spans="1:5" s="95" customFormat="1" ht="11.25">
      <c r="A56" s="182" t="s">
        <v>132</v>
      </c>
      <c r="B56" s="179" t="s">
        <v>507</v>
      </c>
      <c r="C56" s="183">
        <f>本期合并底稿!J197</f>
        <v>267198.33</v>
      </c>
      <c r="D56" s="184"/>
      <c r="E56" s="115"/>
    </row>
    <row r="57" spans="1:5" s="95" customFormat="1" ht="11.25">
      <c r="A57" s="182" t="s">
        <v>133</v>
      </c>
      <c r="B57" s="179" t="s">
        <v>508</v>
      </c>
      <c r="C57" s="183">
        <f>本期合并底稿!J198</f>
        <v>0</v>
      </c>
      <c r="D57" s="184"/>
      <c r="E57" s="115"/>
    </row>
    <row r="58" spans="1:5" s="95" customFormat="1" ht="11.25">
      <c r="A58" s="182" t="s">
        <v>134</v>
      </c>
      <c r="B58" s="179" t="s">
        <v>509</v>
      </c>
      <c r="C58" s="183">
        <f>本期合并底稿!J199</f>
        <v>14870.28</v>
      </c>
      <c r="D58" s="184"/>
      <c r="E58" s="115"/>
    </row>
    <row r="59" spans="1:5" s="95" customFormat="1" ht="11.25">
      <c r="A59" s="182" t="s">
        <v>135</v>
      </c>
      <c r="B59" s="179" t="s">
        <v>510</v>
      </c>
      <c r="C59" s="183">
        <f>本期合并底稿!J200</f>
        <v>-1038891.73</v>
      </c>
      <c r="D59" s="184"/>
      <c r="E59" s="115"/>
    </row>
    <row r="60" spans="1:5" s="95" customFormat="1" ht="11.25">
      <c r="A60" s="182" t="s">
        <v>136</v>
      </c>
      <c r="B60" s="179" t="s">
        <v>511</v>
      </c>
      <c r="C60" s="183">
        <f>本期合并底稿!J201</f>
        <v>-575546.88</v>
      </c>
      <c r="D60" s="184"/>
      <c r="E60" s="115"/>
    </row>
    <row r="61" spans="1:5" s="95" customFormat="1" ht="11.25">
      <c r="A61" s="182" t="s">
        <v>137</v>
      </c>
      <c r="B61" s="179" t="s">
        <v>359</v>
      </c>
      <c r="C61" s="183">
        <f>本期合并底稿!J202</f>
        <v>-55099256.75</v>
      </c>
      <c r="D61" s="184"/>
      <c r="E61" s="115"/>
    </row>
    <row r="62" spans="1:5" s="95" customFormat="1" ht="11.25">
      <c r="A62" s="182" t="s">
        <v>138</v>
      </c>
      <c r="B62" s="179" t="s">
        <v>361</v>
      </c>
      <c r="C62" s="183">
        <f>本期合并底稿!J203</f>
        <v>-972802.18</v>
      </c>
      <c r="D62" s="184"/>
      <c r="E62" s="115"/>
    </row>
    <row r="63" spans="1:5" s="95" customFormat="1" ht="11.25">
      <c r="A63" s="182" t="s">
        <v>139</v>
      </c>
      <c r="B63" s="179" t="s">
        <v>363</v>
      </c>
      <c r="C63" s="183">
        <f>本期合并底稿!J204</f>
        <v>231707.3</v>
      </c>
      <c r="D63" s="184"/>
      <c r="E63" s="115"/>
    </row>
    <row r="64" spans="1:5" s="95" customFormat="1" ht="11.25">
      <c r="A64" s="182" t="s">
        <v>140</v>
      </c>
      <c r="B64" s="179" t="s">
        <v>512</v>
      </c>
      <c r="C64" s="183">
        <f>本期合并底稿!J205</f>
        <v>-56503094.119999997</v>
      </c>
      <c r="D64" s="184"/>
      <c r="E64" s="115"/>
    </row>
    <row r="65" spans="1:5" s="95" customFormat="1" ht="11.25">
      <c r="A65" s="182" t="s">
        <v>141</v>
      </c>
      <c r="B65" s="179" t="s">
        <v>365</v>
      </c>
      <c r="C65" s="183">
        <f>本期合并底稿!J206</f>
        <v>231515926.16</v>
      </c>
      <c r="D65" s="184"/>
      <c r="E65" s="115"/>
    </row>
    <row r="66" spans="1:5" s="95" customFormat="1" ht="11.25">
      <c r="A66" s="182" t="s">
        <v>142</v>
      </c>
      <c r="B66" s="179" t="s">
        <v>513</v>
      </c>
      <c r="C66" s="183">
        <f>本期合并底稿!J207</f>
        <v>120609176.06</v>
      </c>
      <c r="D66" s="184"/>
      <c r="E66" s="115"/>
    </row>
    <row r="67" spans="1:5" s="95" customFormat="1" ht="11.25">
      <c r="A67" s="182" t="s">
        <v>143</v>
      </c>
      <c r="B67" s="179" t="s">
        <v>514</v>
      </c>
      <c r="C67" s="183">
        <f>本期合并底稿!J208</f>
        <v>78380.13</v>
      </c>
      <c r="D67" s="184"/>
      <c r="E67" s="115"/>
    </row>
    <row r="68" spans="1:5" s="95" customFormat="1" ht="11.25">
      <c r="A68" s="185" t="s">
        <v>144</v>
      </c>
      <c r="B68" s="179" t="s">
        <v>371</v>
      </c>
      <c r="C68" s="180">
        <f>SUM(C52:C67)</f>
        <v>304163168.02999997</v>
      </c>
      <c r="D68" s="181">
        <f>SUM(D52:D67)</f>
        <v>0</v>
      </c>
      <c r="E68" s="115"/>
    </row>
    <row r="69" spans="1:5" s="95" customFormat="1" ht="11.25">
      <c r="A69" s="182" t="s">
        <v>145</v>
      </c>
      <c r="B69" s="179"/>
      <c r="C69" s="180"/>
      <c r="D69" s="181"/>
      <c r="E69" s="115"/>
    </row>
    <row r="70" spans="1:5" s="95" customFormat="1" ht="11.25">
      <c r="A70" s="182" t="s">
        <v>146</v>
      </c>
      <c r="B70" s="179" t="s">
        <v>515</v>
      </c>
      <c r="C70" s="183"/>
      <c r="D70" s="184"/>
      <c r="E70" s="115"/>
    </row>
    <row r="71" spans="1:5" s="95" customFormat="1" ht="11.25">
      <c r="A71" s="182" t="s">
        <v>147</v>
      </c>
      <c r="B71" s="179" t="s">
        <v>516</v>
      </c>
      <c r="C71" s="183"/>
      <c r="D71" s="184"/>
      <c r="E71" s="115"/>
    </row>
    <row r="72" spans="1:5" s="95" customFormat="1" ht="11.25">
      <c r="A72" s="182" t="s">
        <v>148</v>
      </c>
      <c r="B72" s="179" t="s">
        <v>517</v>
      </c>
      <c r="C72" s="183"/>
      <c r="D72" s="184"/>
      <c r="E72" s="115"/>
    </row>
    <row r="73" spans="1:5" s="95" customFormat="1" ht="10.5" customHeight="1">
      <c r="A73" s="182" t="s">
        <v>149</v>
      </c>
      <c r="B73" s="179"/>
      <c r="C73" s="180"/>
      <c r="D73" s="181"/>
      <c r="E73" s="115"/>
    </row>
    <row r="74" spans="1:5" s="95" customFormat="1" ht="11.25">
      <c r="A74" s="182" t="s">
        <v>150</v>
      </c>
      <c r="B74" s="179" t="s">
        <v>375</v>
      </c>
      <c r="C74" s="180">
        <f>本期合并底稿!J215</f>
        <v>715943572.89999998</v>
      </c>
      <c r="D74" s="181"/>
      <c r="E74" s="115"/>
    </row>
    <row r="75" spans="1:5" s="95" customFormat="1" ht="10.5" customHeight="1">
      <c r="A75" s="182" t="s">
        <v>151</v>
      </c>
      <c r="B75" s="179" t="s">
        <v>518</v>
      </c>
      <c r="C75" s="180">
        <f>D74</f>
        <v>0</v>
      </c>
      <c r="D75" s="184"/>
      <c r="E75" s="115"/>
    </row>
    <row r="76" spans="1:5" s="95" customFormat="1" ht="10.5" customHeight="1">
      <c r="A76" s="182" t="s">
        <v>152</v>
      </c>
      <c r="B76" s="179" t="s">
        <v>519</v>
      </c>
      <c r="C76" s="183"/>
      <c r="D76" s="184"/>
      <c r="E76" s="115"/>
    </row>
    <row r="77" spans="1:5" ht="10.5" customHeight="1">
      <c r="A77" s="182" t="s">
        <v>153</v>
      </c>
      <c r="B77" s="179" t="s">
        <v>520</v>
      </c>
      <c r="C77" s="183"/>
      <c r="D77" s="184"/>
    </row>
    <row r="78" spans="1:5" ht="10.5" customHeight="1">
      <c r="A78" s="201" t="s">
        <v>154</v>
      </c>
      <c r="B78" s="193" t="s">
        <v>377</v>
      </c>
      <c r="C78" s="202">
        <f>C74-C75+C76-C77</f>
        <v>715943572.89999998</v>
      </c>
      <c r="D78" s="195">
        <f>D74-D75+D76-D77</f>
        <v>0</v>
      </c>
    </row>
    <row r="79" spans="1:5" s="94" customFormat="1" ht="11.25">
      <c r="A79" s="203" t="str">
        <f>IF(ABS(INT((C68-C15)*100+0.5))=0," ","本年经营活动净现金流量统计有误")</f>
        <v xml:space="preserve"> </v>
      </c>
      <c r="B79" s="204"/>
      <c r="C79" s="203" t="str">
        <f>IF(ABS(INT((D68-D15)*100+0.5))=0," ","上年经营活动净现金流量统计有误")</f>
        <v xml:space="preserve"> </v>
      </c>
      <c r="D79" s="205"/>
      <c r="E79" s="113"/>
    </row>
    <row r="80" spans="1:5" s="94" customFormat="1" ht="11.25">
      <c r="A80" s="203" t="str">
        <f>IF(ABS(INT((C78-C42)*100+0.5))=0," ","本年现金净流量统计有误")</f>
        <v>本年现金净流量统计有误</v>
      </c>
      <c r="B80" s="204"/>
      <c r="C80" s="203" t="str">
        <f>IF(ABS(INT((D78-D42)*100+0.5))=0," ","上年现金净流量统计有误")</f>
        <v/>
      </c>
      <c r="D80" s="205"/>
      <c r="E80" s="113"/>
    </row>
    <row r="81" spans="1:5" s="94" customFormat="1" ht="11.25">
      <c r="A81" s="206" t="s">
        <v>521</v>
      </c>
      <c r="B81" s="207"/>
      <c r="C81" s="205"/>
      <c r="D81" s="205"/>
      <c r="E81" s="113"/>
    </row>
  </sheetData>
  <mergeCells count="6">
    <mergeCell ref="A48:D48"/>
    <mergeCell ref="A49:D49"/>
    <mergeCell ref="A1:D1"/>
    <mergeCell ref="A2:D2"/>
    <mergeCell ref="A3:D3"/>
    <mergeCell ref="A45:D45"/>
  </mergeCells>
  <phoneticPr fontId="3" type="noConversion"/>
  <printOptions horizontalCentered="1"/>
  <pageMargins left="0.55118110236220474" right="0.55118110236220474" top="0.98425196850393704" bottom="0.98425196850393704" header="0.51181102362204722" footer="0.51181102362204722"/>
  <pageSetup paperSize="9" scale="88" orientation="portrait" verticalDpi="1200" r:id="rId1"/>
  <headerFooter alignWithMargins="0"/>
  <rowBreaks count="1" manualBreakCount="1">
    <brk id="47" max="16383" man="1"/>
  </rowBreaks>
  <colBreaks count="1" manualBreakCount="1">
    <brk id="5" max="1048575" man="1"/>
  </colBreaks>
</worksheet>
</file>

<file path=xl/worksheets/sheet5.xml><?xml version="1.0" encoding="utf-8"?>
<worksheet xmlns="http://schemas.openxmlformats.org/spreadsheetml/2006/main" xmlns:r="http://schemas.openxmlformats.org/officeDocument/2006/relationships">
  <sheetPr codeName="Sheet4"/>
  <dimension ref="A1:J30"/>
  <sheetViews>
    <sheetView zoomScale="90" zoomScaleNormal="90" workbookViewId="0">
      <pane xSplit="2" ySplit="7" topLeftCell="C11" activePane="bottomRight" state="frozen"/>
      <selection pane="topRight" activeCell="C1" sqref="C1"/>
      <selection pane="bottomLeft" activeCell="A8" sqref="A8"/>
      <selection pane="bottomRight" activeCell="I7" activeCellId="1" sqref="C7:G7 I7:J7"/>
    </sheetView>
  </sheetViews>
  <sheetFormatPr defaultColWidth="9" defaultRowHeight="13.5"/>
  <cols>
    <col min="1" max="1" width="42" style="145" customWidth="1"/>
    <col min="2" max="2" width="3.5" style="145" bestFit="1" customWidth="1"/>
    <col min="3" max="3" width="16.25" style="145" customWidth="1"/>
    <col min="4" max="4" width="15.875" style="145" customWidth="1"/>
    <col min="5" max="5" width="15" style="145" bestFit="1" customWidth="1"/>
    <col min="6" max="6" width="15.625" style="145" customWidth="1"/>
    <col min="7" max="7" width="17.25" style="145" customWidth="1"/>
    <col min="8" max="8" width="18.375" style="145" bestFit="1" customWidth="1"/>
    <col min="9" max="9" width="17.25" style="145" customWidth="1"/>
    <col min="10" max="10" width="16.5" style="145" customWidth="1"/>
    <col min="11" max="16384" width="9" style="145"/>
  </cols>
  <sheetData>
    <row r="1" spans="1:10" ht="31.5">
      <c r="A1" s="245" t="s">
        <v>736</v>
      </c>
      <c r="B1" s="245"/>
      <c r="C1" s="245"/>
      <c r="D1" s="245"/>
      <c r="E1" s="245"/>
      <c r="F1" s="245"/>
      <c r="G1" s="245"/>
      <c r="H1" s="245"/>
      <c r="I1" s="245"/>
      <c r="J1" s="245"/>
    </row>
    <row r="2" spans="1:10">
      <c r="A2" s="168"/>
      <c r="F2" s="169"/>
      <c r="J2" s="170" t="s">
        <v>743</v>
      </c>
    </row>
    <row r="3" spans="1:10">
      <c r="A3" s="168" t="s">
        <v>816</v>
      </c>
      <c r="F3" s="169" t="s">
        <v>746</v>
      </c>
      <c r="J3" s="170" t="s">
        <v>737</v>
      </c>
    </row>
    <row r="4" spans="1:10" s="138" customFormat="1" ht="14.25" customHeight="1">
      <c r="A4" s="236" t="s">
        <v>52</v>
      </c>
      <c r="B4" s="239" t="s">
        <v>409</v>
      </c>
      <c r="C4" s="242" t="s">
        <v>410</v>
      </c>
      <c r="D4" s="242"/>
      <c r="E4" s="242"/>
      <c r="F4" s="242"/>
      <c r="G4" s="242"/>
      <c r="H4" s="243"/>
      <c r="I4" s="243"/>
      <c r="J4" s="244"/>
    </row>
    <row r="5" spans="1:10" s="138" customFormat="1" ht="14.25" customHeight="1">
      <c r="A5" s="237"/>
      <c r="B5" s="240"/>
      <c r="C5" s="246" t="s">
        <v>808</v>
      </c>
      <c r="D5" s="247"/>
      <c r="E5" s="247"/>
      <c r="F5" s="247"/>
      <c r="G5" s="247"/>
      <c r="H5" s="248"/>
      <c r="I5" s="249" t="s">
        <v>440</v>
      </c>
      <c r="J5" s="250" t="s">
        <v>51</v>
      </c>
    </row>
    <row r="6" spans="1:10" s="138" customFormat="1" ht="14.25" customHeight="1">
      <c r="A6" s="238"/>
      <c r="B6" s="241"/>
      <c r="C6" s="139" t="s">
        <v>436</v>
      </c>
      <c r="D6" s="139" t="s">
        <v>437</v>
      </c>
      <c r="E6" s="222" t="s">
        <v>810</v>
      </c>
      <c r="F6" s="139" t="s">
        <v>438</v>
      </c>
      <c r="G6" s="139" t="s">
        <v>439</v>
      </c>
      <c r="H6" s="222" t="s">
        <v>809</v>
      </c>
      <c r="I6" s="241"/>
      <c r="J6" s="251"/>
    </row>
    <row r="7" spans="1:10">
      <c r="A7" s="140" t="s">
        <v>441</v>
      </c>
      <c r="B7" s="141" t="s">
        <v>412</v>
      </c>
      <c r="C7" s="142">
        <v>80000000</v>
      </c>
      <c r="D7" s="142">
        <v>24991290.809999999</v>
      </c>
      <c r="E7" s="142">
        <v>-306643.26</v>
      </c>
      <c r="F7" s="142">
        <v>35024416.659999996</v>
      </c>
      <c r="G7" s="142">
        <v>76650144.180000007</v>
      </c>
      <c r="H7" s="143">
        <f>SUM(C7:G7)</f>
        <v>216359208.38999999</v>
      </c>
      <c r="I7" s="143">
        <v>14167493.949999999</v>
      </c>
      <c r="J7" s="144">
        <f>SUM(H7:I7)</f>
        <v>230526702.34</v>
      </c>
    </row>
    <row r="8" spans="1:10">
      <c r="A8" s="140" t="s">
        <v>442</v>
      </c>
      <c r="B8" s="141" t="s">
        <v>443</v>
      </c>
      <c r="C8" s="146"/>
      <c r="D8" s="146"/>
      <c r="E8" s="147"/>
      <c r="F8" s="146"/>
      <c r="G8" s="146"/>
      <c r="H8" s="143">
        <f t="shared" ref="H8:H25" si="0">SUM(C8:G8)</f>
        <v>0</v>
      </c>
      <c r="I8" s="147"/>
      <c r="J8" s="144">
        <f t="shared" ref="J8:J25" si="1">SUM(H8:I8)</f>
        <v>0</v>
      </c>
    </row>
    <row r="9" spans="1:10">
      <c r="A9" s="140" t="s">
        <v>444</v>
      </c>
      <c r="B9" s="141" t="s">
        <v>445</v>
      </c>
      <c r="C9" s="146"/>
      <c r="D9" s="146"/>
      <c r="E9" s="147"/>
      <c r="F9" s="146"/>
      <c r="G9" s="146"/>
      <c r="H9" s="143">
        <f t="shared" si="0"/>
        <v>0</v>
      </c>
      <c r="I9" s="147"/>
      <c r="J9" s="144">
        <f t="shared" si="1"/>
        <v>0</v>
      </c>
    </row>
    <row r="10" spans="1:10">
      <c r="A10" s="140" t="s">
        <v>446</v>
      </c>
      <c r="B10" s="141" t="s">
        <v>447</v>
      </c>
      <c r="C10" s="142">
        <f>C7+C8+C9</f>
        <v>80000000</v>
      </c>
      <c r="D10" s="142">
        <f t="shared" ref="D10:F10" si="2">D7+D8+D9</f>
        <v>24991290.809999999</v>
      </c>
      <c r="E10" s="142">
        <f>E7+E8+E9</f>
        <v>-306643.26</v>
      </c>
      <c r="F10" s="142">
        <f t="shared" si="2"/>
        <v>35024416.659999996</v>
      </c>
      <c r="G10" s="142">
        <f>G7+G8+G9</f>
        <v>76650144.180000007</v>
      </c>
      <c r="H10" s="143">
        <f t="shared" si="0"/>
        <v>216359208.38999999</v>
      </c>
      <c r="I10" s="142">
        <f>I7+I8+I9</f>
        <v>14167493.949999999</v>
      </c>
      <c r="J10" s="144">
        <f t="shared" si="1"/>
        <v>230526702.34</v>
      </c>
    </row>
    <row r="11" spans="1:10" ht="15">
      <c r="A11" s="140" t="s">
        <v>731</v>
      </c>
      <c r="B11" s="141" t="s">
        <v>448</v>
      </c>
      <c r="C11" s="142">
        <f>C12+C13+C16+C20</f>
        <v>0</v>
      </c>
      <c r="D11" s="142">
        <f>D12+D13+D16+D20</f>
        <v>0</v>
      </c>
      <c r="E11" s="142">
        <f>E12+E13+E16+E20</f>
        <v>24400.080000000002</v>
      </c>
      <c r="F11" s="142">
        <f>F12+F13+F16+F20</f>
        <v>5720911.7300000004</v>
      </c>
      <c r="G11" s="142">
        <f>G12+G13+G16+G20</f>
        <v>26220342.640000001</v>
      </c>
      <c r="H11" s="143">
        <f t="shared" si="0"/>
        <v>31965654.449999999</v>
      </c>
      <c r="I11" s="142">
        <f>I12+I13+I16+I20</f>
        <v>268402.5</v>
      </c>
      <c r="J11" s="144">
        <f t="shared" si="1"/>
        <v>32234056.949999999</v>
      </c>
    </row>
    <row r="12" spans="1:10">
      <c r="A12" s="140" t="s">
        <v>811</v>
      </c>
      <c r="B12" s="141" t="s">
        <v>449</v>
      </c>
      <c r="C12" s="142"/>
      <c r="D12" s="142"/>
      <c r="E12" s="143">
        <f>本期合并底稿!J113</f>
        <v>24400.080000000002</v>
      </c>
      <c r="F12" s="142"/>
      <c r="G12" s="142">
        <f>合并利润表!C37</f>
        <v>57974354.369999997</v>
      </c>
      <c r="H12" s="143">
        <f t="shared" si="0"/>
        <v>57998754.450000003</v>
      </c>
      <c r="I12" s="143">
        <f>本期合并底稿!G134</f>
        <v>3612402.5</v>
      </c>
      <c r="J12" s="144">
        <f t="shared" si="1"/>
        <v>61611156.950000003</v>
      </c>
    </row>
    <row r="13" spans="1:10">
      <c r="A13" s="140" t="s">
        <v>451</v>
      </c>
      <c r="B13" s="141" t="s">
        <v>452</v>
      </c>
      <c r="C13" s="142">
        <f>SUM(C14:C15)</f>
        <v>0</v>
      </c>
      <c r="D13" s="142">
        <f>SUM(D14:D15)</f>
        <v>0</v>
      </c>
      <c r="E13" s="142">
        <f>SUM(E14:E15)</f>
        <v>0</v>
      </c>
      <c r="F13" s="142">
        <f>SUM(F14:F15)</f>
        <v>0</v>
      </c>
      <c r="G13" s="142">
        <f>SUM(G14:G15)</f>
        <v>0</v>
      </c>
      <c r="H13" s="143">
        <f t="shared" si="0"/>
        <v>0</v>
      </c>
      <c r="I13" s="142">
        <f>SUM(I14:I15)</f>
        <v>0</v>
      </c>
      <c r="J13" s="144">
        <f t="shared" si="1"/>
        <v>0</v>
      </c>
    </row>
    <row r="14" spans="1:10">
      <c r="A14" s="140" t="s">
        <v>453</v>
      </c>
      <c r="B14" s="141" t="s">
        <v>454</v>
      </c>
      <c r="C14" s="146"/>
      <c r="D14" s="146"/>
      <c r="E14" s="147"/>
      <c r="F14" s="146"/>
      <c r="G14" s="146"/>
      <c r="H14" s="143"/>
      <c r="I14" s="147">
        <f>本期合并底稿!G143</f>
        <v>0</v>
      </c>
      <c r="J14" s="144">
        <f t="shared" si="1"/>
        <v>0</v>
      </c>
    </row>
    <row r="15" spans="1:10">
      <c r="A15" s="223" t="s">
        <v>812</v>
      </c>
      <c r="B15" s="141" t="s">
        <v>456</v>
      </c>
      <c r="C15" s="146"/>
      <c r="D15" s="146"/>
      <c r="E15" s="147"/>
      <c r="F15" s="146"/>
      <c r="G15" s="146">
        <f>-本期合并底稿!G136</f>
        <v>0</v>
      </c>
      <c r="H15" s="143">
        <f t="shared" si="0"/>
        <v>0</v>
      </c>
      <c r="I15" s="147"/>
      <c r="J15" s="144">
        <f t="shared" si="1"/>
        <v>0</v>
      </c>
    </row>
    <row r="16" spans="1:10">
      <c r="A16" s="140" t="s">
        <v>457</v>
      </c>
      <c r="B16" s="141" t="s">
        <v>458</v>
      </c>
      <c r="C16" s="142">
        <f>SUM(C17:C19)</f>
        <v>0</v>
      </c>
      <c r="D16" s="142">
        <f t="shared" ref="D16:G16" si="3">SUM(D17:D19)</f>
        <v>0</v>
      </c>
      <c r="E16" s="142">
        <f t="shared" ref="E16" si="4">SUM(E17:E19)</f>
        <v>0</v>
      </c>
      <c r="F16" s="142">
        <f t="shared" si="3"/>
        <v>5720911.7300000004</v>
      </c>
      <c r="G16" s="142">
        <f t="shared" si="3"/>
        <v>-31754011.73</v>
      </c>
      <c r="H16" s="143">
        <f t="shared" si="0"/>
        <v>-26033100</v>
      </c>
      <c r="I16" s="142">
        <f>SUM(I17:I19)</f>
        <v>-3344000</v>
      </c>
      <c r="J16" s="144">
        <f t="shared" si="1"/>
        <v>-29377100</v>
      </c>
    </row>
    <row r="17" spans="1:10">
      <c r="A17" s="140" t="s">
        <v>459</v>
      </c>
      <c r="B17" s="141" t="s">
        <v>460</v>
      </c>
      <c r="C17" s="146"/>
      <c r="D17" s="146"/>
      <c r="E17" s="147"/>
      <c r="F17" s="146">
        <f>本期合并底稿!J126+本期合并底稿!J128</f>
        <v>5720911.7300000004</v>
      </c>
      <c r="G17" s="146">
        <f>-F17</f>
        <v>-5720911.7300000004</v>
      </c>
      <c r="H17" s="143">
        <f t="shared" si="0"/>
        <v>0</v>
      </c>
      <c r="I17" s="147"/>
      <c r="J17" s="144">
        <f t="shared" si="1"/>
        <v>0</v>
      </c>
    </row>
    <row r="18" spans="1:10">
      <c r="A18" s="140" t="s">
        <v>461</v>
      </c>
      <c r="B18" s="141" t="s">
        <v>462</v>
      </c>
      <c r="C18" s="146"/>
      <c r="D18" s="146"/>
      <c r="E18" s="147"/>
      <c r="F18" s="146"/>
      <c r="G18" s="146">
        <f>-本期合并底稿!J129</f>
        <v>-26033100</v>
      </c>
      <c r="H18" s="143">
        <f t="shared" si="0"/>
        <v>-26033100</v>
      </c>
      <c r="I18" s="147">
        <f>-本期合并底稿!G140</f>
        <v>-3344000</v>
      </c>
      <c r="J18" s="144">
        <f t="shared" si="1"/>
        <v>-29377100</v>
      </c>
    </row>
    <row r="19" spans="1:10">
      <c r="A19" s="140" t="s">
        <v>455</v>
      </c>
      <c r="B19" s="141" t="s">
        <v>463</v>
      </c>
      <c r="C19" s="146"/>
      <c r="D19" s="146"/>
      <c r="E19" s="147"/>
      <c r="F19" s="146"/>
      <c r="G19" s="146"/>
      <c r="H19" s="143">
        <f t="shared" si="0"/>
        <v>0</v>
      </c>
      <c r="I19" s="147"/>
      <c r="J19" s="144">
        <f t="shared" si="1"/>
        <v>0</v>
      </c>
    </row>
    <row r="20" spans="1:10">
      <c r="A20" s="140" t="s">
        <v>464</v>
      </c>
      <c r="B20" s="141" t="s">
        <v>465</v>
      </c>
      <c r="C20" s="142">
        <f>SUM(C21:C24)</f>
        <v>0</v>
      </c>
      <c r="D20" s="142">
        <f t="shared" ref="D20:I20" si="5">SUM(D21:D24)</f>
        <v>0</v>
      </c>
      <c r="E20" s="142">
        <f t="shared" ref="E20" si="6">SUM(E21:E24)</f>
        <v>0</v>
      </c>
      <c r="F20" s="142">
        <f t="shared" si="5"/>
        <v>0</v>
      </c>
      <c r="G20" s="142">
        <f t="shared" si="5"/>
        <v>0</v>
      </c>
      <c r="H20" s="143">
        <f t="shared" si="0"/>
        <v>0</v>
      </c>
      <c r="I20" s="142">
        <f t="shared" si="5"/>
        <v>0</v>
      </c>
      <c r="J20" s="144">
        <f t="shared" si="1"/>
        <v>0</v>
      </c>
    </row>
    <row r="21" spans="1:10">
      <c r="A21" s="140" t="s">
        <v>466</v>
      </c>
      <c r="B21" s="141" t="s">
        <v>467</v>
      </c>
      <c r="C21" s="146"/>
      <c r="D21" s="146"/>
      <c r="E21" s="147"/>
      <c r="F21" s="146"/>
      <c r="G21" s="146"/>
      <c r="H21" s="143">
        <f t="shared" si="0"/>
        <v>0</v>
      </c>
      <c r="I21" s="147"/>
      <c r="J21" s="144">
        <f t="shared" si="1"/>
        <v>0</v>
      </c>
    </row>
    <row r="22" spans="1:10">
      <c r="A22" s="140" t="s">
        <v>468</v>
      </c>
      <c r="B22" s="141" t="s">
        <v>469</v>
      </c>
      <c r="C22" s="146"/>
      <c r="D22" s="146"/>
      <c r="E22" s="147"/>
      <c r="F22" s="146"/>
      <c r="G22" s="146"/>
      <c r="H22" s="143">
        <f t="shared" si="0"/>
        <v>0</v>
      </c>
      <c r="I22" s="147"/>
      <c r="J22" s="144">
        <f t="shared" si="1"/>
        <v>0</v>
      </c>
    </row>
    <row r="23" spans="1:10">
      <c r="A23" s="140" t="s">
        <v>470</v>
      </c>
      <c r="B23" s="141" t="s">
        <v>471</v>
      </c>
      <c r="C23" s="146"/>
      <c r="D23" s="146"/>
      <c r="E23" s="147"/>
      <c r="F23" s="146"/>
      <c r="G23" s="146"/>
      <c r="H23" s="143">
        <f t="shared" si="0"/>
        <v>0</v>
      </c>
      <c r="I23" s="147"/>
      <c r="J23" s="144">
        <f t="shared" si="1"/>
        <v>0</v>
      </c>
    </row>
    <row r="24" spans="1:10">
      <c r="A24" s="140" t="s">
        <v>450</v>
      </c>
      <c r="B24" s="141" t="s">
        <v>388</v>
      </c>
      <c r="C24" s="148"/>
      <c r="D24" s="148"/>
      <c r="E24" s="149"/>
      <c r="F24" s="148"/>
      <c r="G24" s="148"/>
      <c r="H24" s="143">
        <f t="shared" si="0"/>
        <v>0</v>
      </c>
      <c r="I24" s="149"/>
      <c r="J24" s="144">
        <f t="shared" si="1"/>
        <v>0</v>
      </c>
    </row>
    <row r="25" spans="1:10">
      <c r="A25" s="150" t="s">
        <v>472</v>
      </c>
      <c r="B25" s="151" t="s">
        <v>473</v>
      </c>
      <c r="C25" s="152">
        <f>C10+C11</f>
        <v>80000000</v>
      </c>
      <c r="D25" s="152">
        <f>D10+D11</f>
        <v>24991290.809999999</v>
      </c>
      <c r="E25" s="152">
        <f t="shared" ref="E25" si="7">E10+E11</f>
        <v>-282243.18</v>
      </c>
      <c r="F25" s="152">
        <f>F10+F11</f>
        <v>40745328.390000001</v>
      </c>
      <c r="G25" s="152">
        <f>G10+G11</f>
        <v>102870486.81999999</v>
      </c>
      <c r="H25" s="152">
        <f t="shared" si="0"/>
        <v>248324862.84</v>
      </c>
      <c r="I25" s="152">
        <f>I10+I11</f>
        <v>14435896.449999999</v>
      </c>
      <c r="J25" s="153">
        <f t="shared" si="1"/>
        <v>262760759.28999999</v>
      </c>
    </row>
    <row r="26" spans="1:10">
      <c r="A26" s="171" t="s">
        <v>740</v>
      </c>
      <c r="B26" s="171"/>
      <c r="C26" s="171"/>
      <c r="D26" s="171"/>
      <c r="E26" s="172"/>
      <c r="F26" s="172"/>
      <c r="G26" s="172"/>
      <c r="H26" s="172"/>
      <c r="I26" s="172"/>
      <c r="J26" s="172"/>
    </row>
    <row r="27" spans="1:10" s="154" customFormat="1">
      <c r="A27" s="154" t="s">
        <v>474</v>
      </c>
      <c r="C27" s="154" t="str">
        <f>IF(ROUND(C25-合并资产负债表!G30,2)=0," ","误")</f>
        <v xml:space="preserve"> </v>
      </c>
      <c r="D27" s="154" t="str">
        <f>IF(ROUND(D25-合并资产负债表!G31,2)=0," ","误")</f>
        <v xml:space="preserve"> </v>
      </c>
      <c r="E27" s="154" t="str">
        <f>IF(ROUND(E25-合并资产负债表!G32,2)=0," ","误")</f>
        <v xml:space="preserve"> </v>
      </c>
      <c r="F27" s="154" t="str">
        <f>IF(ROUND(F25-合并资产负债表!G33,2)=0," ","误")</f>
        <v xml:space="preserve"> </v>
      </c>
      <c r="G27" s="154" t="str">
        <f>IF(ROUND(G25-合并资产负债表!G36,2)=0," ","误")</f>
        <v xml:space="preserve"> </v>
      </c>
      <c r="I27" s="154" t="str">
        <f>IF(ROUND(I25-合并资产负债表!G38,2)=0," ","误")</f>
        <v>误</v>
      </c>
      <c r="J27" s="154" t="str">
        <f>IF(ROUND(J25-合并资产负债表!G39,2)=0," ","误")</f>
        <v>误</v>
      </c>
    </row>
    <row r="28" spans="1:10">
      <c r="A28" s="155"/>
      <c r="D28" s="156">
        <f>D25-合并资产负债表!G31</f>
        <v>0</v>
      </c>
      <c r="E28" s="156">
        <f>E25-合并资产负债表!G32</f>
        <v>0</v>
      </c>
      <c r="F28" s="156">
        <f>F25-合并资产负债表!G33</f>
        <v>0</v>
      </c>
      <c r="G28" s="156">
        <f>G25-合并资产负债表!G36</f>
        <v>0</v>
      </c>
      <c r="I28" s="156">
        <f>I25-合并资产负债表!G38</f>
        <v>0.01</v>
      </c>
      <c r="J28" s="156">
        <f>J25-合并资产负债表!G39</f>
        <v>0.01</v>
      </c>
    </row>
    <row r="29" spans="1:10">
      <c r="F29" s="156"/>
      <c r="I29" s="157" t="s">
        <v>733</v>
      </c>
      <c r="J29" s="156">
        <f>J12-合并利润表!C50</f>
        <v>0</v>
      </c>
    </row>
    <row r="30" spans="1:10">
      <c r="D30" s="156"/>
      <c r="E30" s="156"/>
      <c r="G30" s="156"/>
    </row>
  </sheetData>
  <mergeCells count="7">
    <mergeCell ref="A4:A6"/>
    <mergeCell ref="B4:B6"/>
    <mergeCell ref="C4:J4"/>
    <mergeCell ref="A1:J1"/>
    <mergeCell ref="C5:H5"/>
    <mergeCell ref="I5:I6"/>
    <mergeCell ref="J5:J6"/>
  </mergeCells>
  <phoneticPr fontId="3" type="noConversion"/>
  <printOptions horizontalCentered="1"/>
  <pageMargins left="0.39370078740157483" right="0.43307086614173229" top="1.299212598425197" bottom="0.98425196850393704" header="0.51181102362204722" footer="0.51181102362204722"/>
  <pageSetup paperSize="9" scale="73" orientation="landscape" verticalDpi="1200" r:id="rId1"/>
  <headerFooter alignWithMargins="0"/>
</worksheet>
</file>

<file path=xl/worksheets/sheet6.xml><?xml version="1.0" encoding="utf-8"?>
<worksheet xmlns="http://schemas.openxmlformats.org/spreadsheetml/2006/main" xmlns:r="http://schemas.openxmlformats.org/officeDocument/2006/relationships">
  <sheetPr codeName="Sheet5"/>
  <dimension ref="A1:K225"/>
  <sheetViews>
    <sheetView workbookViewId="0">
      <pane xSplit="2" ySplit="2" topLeftCell="C3" activePane="bottomRight" state="frozen"/>
      <selection pane="topRight" activeCell="C1" sqref="C1"/>
      <selection pane="bottomLeft" activeCell="A3" sqref="A3"/>
      <selection pane="bottomRight" activeCell="F22" sqref="F22"/>
    </sheetView>
  </sheetViews>
  <sheetFormatPr defaultColWidth="9" defaultRowHeight="12"/>
  <cols>
    <col min="1" max="1" width="29.875" style="11" customWidth="1"/>
    <col min="2" max="2" width="8" style="214" bestFit="1" customWidth="1"/>
    <col min="3" max="4" width="18" style="6" customWidth="1"/>
    <col min="5" max="5" width="14.125" style="6" customWidth="1"/>
    <col min="6" max="6" width="16.125" style="6" customWidth="1"/>
    <col min="7" max="7" width="18.75" style="6" bestFit="1" customWidth="1"/>
    <col min="8" max="8" width="16.125" style="6" bestFit="1" customWidth="1"/>
    <col min="9" max="9" width="15.125" style="6" bestFit="1" customWidth="1"/>
    <col min="10" max="10" width="18" style="6" bestFit="1" customWidth="1"/>
    <col min="11" max="12" width="15.125" style="6" bestFit="1" customWidth="1"/>
    <col min="13" max="16384" width="9" style="6"/>
  </cols>
  <sheetData>
    <row r="1" spans="1:10" s="18" customFormat="1">
      <c r="A1" s="252" t="s">
        <v>87</v>
      </c>
      <c r="B1" s="208" t="s">
        <v>156</v>
      </c>
      <c r="C1" s="18" t="s">
        <v>813</v>
      </c>
      <c r="D1" s="18" t="s">
        <v>814</v>
      </c>
      <c r="E1" s="128"/>
      <c r="F1" s="18" t="s">
        <v>817</v>
      </c>
      <c r="G1" s="18" t="s">
        <v>616</v>
      </c>
      <c r="H1" s="254" t="s">
        <v>617</v>
      </c>
      <c r="I1" s="254"/>
      <c r="J1" s="18" t="s">
        <v>618</v>
      </c>
    </row>
    <row r="2" spans="1:10" s="18" customFormat="1">
      <c r="A2" s="253"/>
      <c r="B2" s="208"/>
      <c r="H2" s="18" t="s">
        <v>619</v>
      </c>
      <c r="I2" s="18" t="s">
        <v>620</v>
      </c>
    </row>
    <row r="3" spans="1:10">
      <c r="A3" s="7" t="s">
        <v>352</v>
      </c>
      <c r="B3" s="2"/>
    </row>
    <row r="4" spans="1:10">
      <c r="A4" s="8" t="s">
        <v>621</v>
      </c>
      <c r="B4" s="22"/>
    </row>
    <row r="5" spans="1:10">
      <c r="A5" s="8" t="s">
        <v>622</v>
      </c>
      <c r="B5" s="22" t="s">
        <v>157</v>
      </c>
      <c r="C5" s="6">
        <v>318923024.63</v>
      </c>
      <c r="D5" s="6">
        <v>368167918.83999997</v>
      </c>
      <c r="F5" s="6">
        <v>25852629.43</v>
      </c>
      <c r="G5" s="6">
        <f t="shared" ref="G5:G18" si="0">SUM(C5:F5)</f>
        <v>712943572.89999998</v>
      </c>
      <c r="H5" s="6">
        <f>SUMIF(本期抵消分录!C:C,B5,本期抵消分录!E:E)</f>
        <v>0</v>
      </c>
      <c r="I5" s="6">
        <f>SUMIF(本期抵消分录!C:C,B5,本期抵消分录!F:F)</f>
        <v>0</v>
      </c>
      <c r="J5" s="6">
        <f>G5+H5-I5</f>
        <v>712943572.89999998</v>
      </c>
    </row>
    <row r="6" spans="1:10" s="210" customFormat="1" ht="24">
      <c r="A6" s="209" t="s">
        <v>748</v>
      </c>
      <c r="B6" s="22" t="s">
        <v>158</v>
      </c>
      <c r="C6" s="6">
        <v>680674198.27999997</v>
      </c>
      <c r="D6" s="6">
        <v>0</v>
      </c>
      <c r="F6" s="6">
        <v>0</v>
      </c>
      <c r="G6" s="210">
        <f t="shared" si="0"/>
        <v>680674198.27999997</v>
      </c>
      <c r="H6" s="210">
        <f>SUMIF(本期抵消分录!C:C,B6,本期抵消分录!E:E)</f>
        <v>0</v>
      </c>
      <c r="I6" s="210">
        <f>SUMIF(本期抵消分录!C:C,B6,本期抵消分录!F:F)</f>
        <v>0</v>
      </c>
      <c r="J6" s="210">
        <f t="shared" ref="J6:J18" si="1">G6+H6-I6</f>
        <v>680674198.27999997</v>
      </c>
    </row>
    <row r="7" spans="1:10">
      <c r="A7" s="8" t="s">
        <v>623</v>
      </c>
      <c r="B7" s="22" t="s">
        <v>159</v>
      </c>
      <c r="C7" s="6">
        <v>1586604</v>
      </c>
      <c r="D7" s="6">
        <v>0</v>
      </c>
      <c r="F7" s="6">
        <v>0</v>
      </c>
      <c r="G7" s="6">
        <f t="shared" si="0"/>
        <v>1586604</v>
      </c>
      <c r="H7" s="6">
        <f>SUMIF(本期抵消分录!C:C,B7,本期抵消分录!E:E)</f>
        <v>0</v>
      </c>
      <c r="I7" s="6">
        <f>SUMIF(本期抵消分录!C:C,B7,本期抵消分录!F:F)</f>
        <v>0</v>
      </c>
      <c r="J7" s="6">
        <f t="shared" si="1"/>
        <v>1586604</v>
      </c>
    </row>
    <row r="8" spans="1:10">
      <c r="A8" s="8" t="s">
        <v>624</v>
      </c>
      <c r="B8" s="22" t="s">
        <v>160</v>
      </c>
      <c r="C8" s="6">
        <v>74935353.920000002</v>
      </c>
      <c r="D8" s="6">
        <v>27034338.969999999</v>
      </c>
      <c r="F8" s="6">
        <v>609492.12</v>
      </c>
      <c r="G8" s="6">
        <f t="shared" si="0"/>
        <v>102579185.01000001</v>
      </c>
      <c r="H8" s="6">
        <f>SUMIF(本期抵消分录!C:C,B8,本期抵消分录!E:E)</f>
        <v>0</v>
      </c>
      <c r="I8" s="6">
        <f>SUMIF(本期抵消分录!C:C,B8,本期抵消分录!F:F)</f>
        <v>0</v>
      </c>
      <c r="J8" s="6">
        <f t="shared" si="1"/>
        <v>102579185.01000001</v>
      </c>
    </row>
    <row r="9" spans="1:10">
      <c r="A9" s="8" t="s">
        <v>625</v>
      </c>
      <c r="B9" s="22" t="s">
        <v>161</v>
      </c>
      <c r="C9" s="6">
        <v>55342133.600000001</v>
      </c>
      <c r="D9" s="6">
        <v>144468700.49000001</v>
      </c>
      <c r="F9" s="6">
        <v>15134.47</v>
      </c>
      <c r="G9" s="6">
        <f t="shared" si="0"/>
        <v>199825968.56</v>
      </c>
      <c r="H9" s="6">
        <f>SUMIF(本期抵消分录!C:C,B9,本期抵消分录!E:E)</f>
        <v>0</v>
      </c>
      <c r="I9" s="6">
        <f>SUMIF(本期抵消分录!C:C,B9,本期抵消分录!F:F)</f>
        <v>0</v>
      </c>
      <c r="J9" s="6">
        <f t="shared" si="1"/>
        <v>199825968.56</v>
      </c>
    </row>
    <row r="10" spans="1:10">
      <c r="A10" s="8" t="s">
        <v>626</v>
      </c>
      <c r="B10" s="22" t="s">
        <v>162</v>
      </c>
      <c r="C10" s="6">
        <v>582694.43999999994</v>
      </c>
      <c r="D10" s="6">
        <v>0</v>
      </c>
      <c r="F10" s="6">
        <v>0</v>
      </c>
      <c r="G10" s="6">
        <f t="shared" si="0"/>
        <v>582694.43999999994</v>
      </c>
      <c r="H10" s="6">
        <f>SUMIF(本期抵消分录!C:C,B10,本期抵消分录!E:E)</f>
        <v>0</v>
      </c>
      <c r="I10" s="6">
        <f>SUMIF(本期抵消分录!C:C,B10,本期抵消分录!F:F)</f>
        <v>0</v>
      </c>
      <c r="J10" s="6">
        <f t="shared" si="1"/>
        <v>582694.43999999994</v>
      </c>
    </row>
    <row r="11" spans="1:10">
      <c r="A11" s="8" t="s">
        <v>627</v>
      </c>
      <c r="B11" s="22" t="s">
        <v>163</v>
      </c>
      <c r="C11" s="6">
        <v>616500</v>
      </c>
      <c r="D11" s="6">
        <v>0</v>
      </c>
      <c r="F11" s="6">
        <v>0</v>
      </c>
      <c r="G11" s="6">
        <f t="shared" si="0"/>
        <v>616500</v>
      </c>
      <c r="H11" s="6">
        <f>SUMIF(本期抵消分录!C:C,B11,本期抵消分录!E:E)</f>
        <v>0</v>
      </c>
      <c r="I11" s="6">
        <f>SUMIF(本期抵消分录!C:C,B11,本期抵消分录!F:F)</f>
        <v>0</v>
      </c>
      <c r="J11" s="6">
        <f t="shared" si="1"/>
        <v>616500</v>
      </c>
    </row>
    <row r="12" spans="1:10">
      <c r="A12" s="8" t="s">
        <v>628</v>
      </c>
      <c r="B12" s="22" t="s">
        <v>164</v>
      </c>
      <c r="C12" s="6">
        <v>45770157.310000002</v>
      </c>
      <c r="D12" s="6">
        <v>17973442.359999999</v>
      </c>
      <c r="F12" s="6">
        <v>0</v>
      </c>
      <c r="G12" s="6">
        <f t="shared" si="0"/>
        <v>63743599.670000002</v>
      </c>
      <c r="H12" s="6">
        <f>SUMIF(本期抵消分录!C:C,B12,本期抵消分录!E:E)</f>
        <v>0</v>
      </c>
      <c r="I12" s="6">
        <f>SUMIF(本期抵消分录!C:C,B12,本期抵消分录!F:F)</f>
        <v>5000000</v>
      </c>
      <c r="J12" s="6">
        <f t="shared" si="1"/>
        <v>58743599.670000002</v>
      </c>
    </row>
    <row r="13" spans="1:10">
      <c r="A13" s="134" t="s">
        <v>8</v>
      </c>
      <c r="B13" s="22" t="s">
        <v>165</v>
      </c>
      <c r="C13" s="6">
        <v>2229027.9700000002</v>
      </c>
      <c r="D13" s="6">
        <v>23066398</v>
      </c>
      <c r="F13" s="6">
        <v>0</v>
      </c>
      <c r="G13" s="6">
        <f t="shared" si="0"/>
        <v>25295425.969999999</v>
      </c>
      <c r="H13" s="6">
        <f>SUMIF(本期抵消分录!C:C,B13,本期抵消分录!E:E)</f>
        <v>0</v>
      </c>
      <c r="I13" s="6">
        <f>SUMIF(本期抵消分录!C:C,B13,本期抵消分录!F:F)</f>
        <v>0</v>
      </c>
      <c r="J13" s="6">
        <f t="shared" si="1"/>
        <v>25295425.969999999</v>
      </c>
    </row>
    <row r="14" spans="1:10">
      <c r="A14" s="8" t="s">
        <v>629</v>
      </c>
      <c r="B14" s="22" t="s">
        <v>166</v>
      </c>
      <c r="C14" s="6">
        <v>72640260.879999995</v>
      </c>
      <c r="D14" s="6">
        <v>40045196.240000002</v>
      </c>
      <c r="F14" s="6">
        <v>0</v>
      </c>
      <c r="G14" s="6">
        <f t="shared" si="0"/>
        <v>112685457.12</v>
      </c>
      <c r="H14" s="6">
        <f>SUMIF(本期抵消分录!C:C,B14,本期抵消分录!E:E)</f>
        <v>0</v>
      </c>
      <c r="I14" s="6">
        <f>SUMIF(本期抵消分录!C:C,B14,本期抵消分录!F:F)</f>
        <v>0</v>
      </c>
      <c r="J14" s="6">
        <f t="shared" si="1"/>
        <v>112685457.12</v>
      </c>
    </row>
    <row r="15" spans="1:10">
      <c r="A15" s="134" t="s">
        <v>726</v>
      </c>
      <c r="B15" s="22"/>
      <c r="C15" s="6">
        <v>400740</v>
      </c>
      <c r="D15" s="6">
        <v>0</v>
      </c>
      <c r="F15" s="6">
        <v>0</v>
      </c>
      <c r="G15" s="6">
        <f t="shared" si="0"/>
        <v>400740</v>
      </c>
      <c r="J15" s="6">
        <f t="shared" si="1"/>
        <v>400740</v>
      </c>
    </row>
    <row r="16" spans="1:10">
      <c r="A16" s="134" t="s">
        <v>779</v>
      </c>
      <c r="B16" s="22" t="s">
        <v>780</v>
      </c>
      <c r="C16" s="6">
        <v>0</v>
      </c>
      <c r="D16" s="6">
        <v>0</v>
      </c>
      <c r="F16" s="6">
        <v>0</v>
      </c>
      <c r="G16" s="6">
        <f t="shared" si="0"/>
        <v>0</v>
      </c>
      <c r="H16" s="6">
        <f>SUMIF(本期抵消分录!C:C,B16,本期抵消分录!E:E)</f>
        <v>0</v>
      </c>
      <c r="I16" s="6">
        <f>SUMIF(本期抵消分录!C:C,B16,本期抵消分录!F:F)</f>
        <v>0</v>
      </c>
      <c r="J16" s="6">
        <f t="shared" si="1"/>
        <v>0</v>
      </c>
    </row>
    <row r="17" spans="1:10">
      <c r="A17" s="8" t="s">
        <v>630</v>
      </c>
      <c r="B17" s="22" t="s">
        <v>167</v>
      </c>
      <c r="C17" s="6">
        <v>0</v>
      </c>
      <c r="D17" s="6">
        <v>0</v>
      </c>
      <c r="F17" s="6">
        <v>0</v>
      </c>
      <c r="G17" s="6">
        <f t="shared" si="0"/>
        <v>0</v>
      </c>
      <c r="H17" s="6">
        <f>SUMIF(本期抵消分录!C:C,B17,本期抵消分录!E:E)</f>
        <v>0</v>
      </c>
      <c r="I17" s="6">
        <f>SUMIF(本期抵消分录!C:C,B17,本期抵消分录!F:F)</f>
        <v>0</v>
      </c>
      <c r="J17" s="6">
        <f t="shared" si="1"/>
        <v>0</v>
      </c>
    </row>
    <row r="18" spans="1:10">
      <c r="A18" s="8" t="s">
        <v>631</v>
      </c>
      <c r="B18" s="22" t="s">
        <v>168</v>
      </c>
      <c r="C18" s="6">
        <v>0</v>
      </c>
      <c r="D18" s="6">
        <v>0</v>
      </c>
      <c r="F18" s="6">
        <v>0</v>
      </c>
      <c r="G18" s="6">
        <f t="shared" si="0"/>
        <v>0</v>
      </c>
      <c r="H18" s="6">
        <f>SUMIF(本期抵消分录!C:C,B18,本期抵消分录!E:E)</f>
        <v>0</v>
      </c>
      <c r="I18" s="6">
        <f>SUMIF(本期抵消分录!C:C,B18,本期抵消分录!F:F)</f>
        <v>0</v>
      </c>
      <c r="J18" s="6">
        <f t="shared" si="1"/>
        <v>0</v>
      </c>
    </row>
    <row r="19" spans="1:10" s="25" customFormat="1">
      <c r="A19" s="24" t="s">
        <v>632</v>
      </c>
      <c r="B19" s="38"/>
      <c r="C19" s="25">
        <f t="shared" ref="C19" si="2">SUM(C5:C12,C14,C17:C18)</f>
        <v>1251070927.0599999</v>
      </c>
      <c r="D19" s="25">
        <f t="shared" ref="D19" si="3">SUM(D5:D12,D14,D17:D18)</f>
        <v>597689596.89999998</v>
      </c>
      <c r="F19" s="25">
        <f t="shared" ref="F19" si="4">SUM(F5:F12,F14,F17:F18)</f>
        <v>26477256.02</v>
      </c>
      <c r="G19" s="25">
        <f>SUM(G5:G12,G14,G17:G18)</f>
        <v>1875237779.98</v>
      </c>
      <c r="H19" s="25">
        <f>SUM(H5:H12,H14,H17:H18)</f>
        <v>0</v>
      </c>
      <c r="I19" s="25">
        <f>SUM(I5:I12,I14,I17:I18)</f>
        <v>5000000</v>
      </c>
      <c r="J19" s="25">
        <f>SUM(J5:J12,J14,J17:J18)</f>
        <v>1870237779.98</v>
      </c>
    </row>
    <row r="20" spans="1:10">
      <c r="A20" s="8" t="s">
        <v>633</v>
      </c>
      <c r="B20" s="22"/>
    </row>
    <row r="21" spans="1:10">
      <c r="A21" s="8" t="s">
        <v>634</v>
      </c>
      <c r="B21" s="22" t="s">
        <v>169</v>
      </c>
      <c r="C21" s="6">
        <v>15710000</v>
      </c>
      <c r="D21" s="6">
        <v>10747627.130000001</v>
      </c>
      <c r="F21" s="6">
        <v>0</v>
      </c>
      <c r="G21" s="6">
        <f t="shared" ref="G21:G26" si="5">SUM(C21:F21)</f>
        <v>26457627.129999999</v>
      </c>
      <c r="H21" s="6">
        <f>SUMIF(本期抵消分录!C:C,B21,本期抵消分录!E:E)</f>
        <v>0</v>
      </c>
      <c r="I21" s="6">
        <f>SUMIF(本期抵消分录!C:C,B21,本期抵消分录!F:F)</f>
        <v>0</v>
      </c>
      <c r="J21" s="6">
        <f t="shared" ref="J21:J34" si="6">G21+H21-I21</f>
        <v>26457627.129999999</v>
      </c>
    </row>
    <row r="22" spans="1:10" s="210" customFormat="1">
      <c r="A22" s="209" t="s">
        <v>789</v>
      </c>
      <c r="B22" s="22" t="s">
        <v>170</v>
      </c>
      <c r="D22" s="210">
        <v>0</v>
      </c>
      <c r="F22" s="210">
        <v>0</v>
      </c>
      <c r="G22" s="210">
        <f t="shared" si="5"/>
        <v>0</v>
      </c>
      <c r="H22" s="210">
        <f>SUMIF(本期抵消分录!C:C,B22,本期抵消分录!E:E)</f>
        <v>0</v>
      </c>
      <c r="I22" s="210">
        <f>SUMIF(本期抵消分录!C:C,B22,本期抵消分录!F:F)</f>
        <v>0</v>
      </c>
      <c r="J22" s="210">
        <f t="shared" si="6"/>
        <v>0</v>
      </c>
    </row>
    <row r="23" spans="1:10">
      <c r="A23" s="8" t="s">
        <v>635</v>
      </c>
      <c r="B23" s="22" t="s">
        <v>171</v>
      </c>
      <c r="C23" s="6">
        <v>0</v>
      </c>
      <c r="D23" s="6">
        <v>0</v>
      </c>
      <c r="F23" s="6">
        <v>0</v>
      </c>
      <c r="G23" s="6">
        <f t="shared" si="5"/>
        <v>0</v>
      </c>
      <c r="H23" s="6">
        <f>SUMIF(本期抵消分录!C:C,B23,本期抵消分录!E:E)</f>
        <v>0</v>
      </c>
      <c r="I23" s="6">
        <f>SUMIF(本期抵消分录!C:C,B23,本期抵消分录!F:F)</f>
        <v>0</v>
      </c>
      <c r="J23" s="6">
        <f t="shared" si="6"/>
        <v>0</v>
      </c>
    </row>
    <row r="24" spans="1:10">
      <c r="A24" s="8" t="s">
        <v>636</v>
      </c>
      <c r="B24" s="22" t="s">
        <v>172</v>
      </c>
      <c r="C24" s="6">
        <v>8445211.9399999995</v>
      </c>
      <c r="D24" s="6">
        <v>0</v>
      </c>
      <c r="F24" s="6">
        <v>0</v>
      </c>
      <c r="G24" s="6">
        <f t="shared" si="5"/>
        <v>8445211.9399999995</v>
      </c>
      <c r="H24" s="6">
        <f>SUMIF(本期抵消分录!C:C,B24,本期抵消分录!E:E)</f>
        <v>0</v>
      </c>
      <c r="I24" s="6">
        <f>SUMIF(本期抵消分录!C:C,B24,本期抵消分录!F:F)</f>
        <v>8445211.9399999995</v>
      </c>
      <c r="J24" s="6">
        <f t="shared" si="6"/>
        <v>0</v>
      </c>
    </row>
    <row r="25" spans="1:10">
      <c r="A25" s="9" t="s">
        <v>637</v>
      </c>
      <c r="B25" s="22" t="s">
        <v>173</v>
      </c>
      <c r="C25" s="6">
        <v>38160569.5</v>
      </c>
      <c r="D25" s="6">
        <v>2823560.69</v>
      </c>
      <c r="F25" s="6">
        <v>962700.66</v>
      </c>
      <c r="G25" s="6">
        <f t="shared" si="5"/>
        <v>41946830.850000001</v>
      </c>
      <c r="H25" s="6">
        <f>SUMIF(本期抵消分录!C:C,B25,本期抵消分录!E:E)</f>
        <v>0</v>
      </c>
      <c r="I25" s="6">
        <f>SUMIF(本期抵消分录!C:C,B25,本期抵消分录!F:F)</f>
        <v>0</v>
      </c>
      <c r="J25" s="6">
        <f t="shared" si="6"/>
        <v>41946830.850000001</v>
      </c>
    </row>
    <row r="26" spans="1:10">
      <c r="A26" s="10" t="s">
        <v>638</v>
      </c>
      <c r="B26" s="22" t="s">
        <v>174</v>
      </c>
      <c r="C26" s="6">
        <v>16609894.51</v>
      </c>
      <c r="D26" s="6">
        <v>2242004.87</v>
      </c>
      <c r="F26" s="6">
        <v>176511.35999999999</v>
      </c>
      <c r="G26" s="6">
        <f t="shared" si="5"/>
        <v>19028410.739999998</v>
      </c>
      <c r="H26" s="6">
        <f>SUMIF(本期抵消分录!C:C,B26,本期抵消分录!E:E)</f>
        <v>0</v>
      </c>
      <c r="I26" s="6">
        <f>SUMIF(本期抵消分录!C:C,B26,本期抵消分录!F:F)</f>
        <v>0</v>
      </c>
      <c r="J26" s="6">
        <f>G26-H26+I26</f>
        <v>19028410.739999998</v>
      </c>
    </row>
    <row r="27" spans="1:10" s="45" customFormat="1">
      <c r="A27" s="44" t="s">
        <v>639</v>
      </c>
      <c r="B27" s="22" t="s">
        <v>175</v>
      </c>
      <c r="C27" s="45">
        <f t="shared" ref="C27" si="7">C25-C26</f>
        <v>21550674.989999998</v>
      </c>
      <c r="D27" s="45">
        <f t="shared" ref="D27" si="8">D25-D26</f>
        <v>581555.81999999995</v>
      </c>
      <c r="F27" s="45">
        <f t="shared" ref="F27" si="9">F25-F26</f>
        <v>786189.3</v>
      </c>
      <c r="G27" s="45">
        <f>G25-G26</f>
        <v>22918420.109999999</v>
      </c>
      <c r="H27" s="45">
        <f>H25-H26</f>
        <v>0</v>
      </c>
      <c r="I27" s="45">
        <f>I25-I26</f>
        <v>0</v>
      </c>
      <c r="J27" s="45">
        <f>J25-J26</f>
        <v>22918420.109999999</v>
      </c>
    </row>
    <row r="28" spans="1:10">
      <c r="A28" s="8" t="s">
        <v>640</v>
      </c>
      <c r="B28" s="22" t="s">
        <v>176</v>
      </c>
      <c r="C28" s="6">
        <v>0</v>
      </c>
      <c r="D28" s="6">
        <v>0</v>
      </c>
      <c r="F28" s="6">
        <v>0</v>
      </c>
      <c r="G28" s="6">
        <f t="shared" ref="G28:G34" si="10">SUM(C28:F28)</f>
        <v>0</v>
      </c>
      <c r="H28" s="6">
        <f>SUMIF(本期抵消分录!C:C,B28,本期抵消分录!E:E)</f>
        <v>0</v>
      </c>
      <c r="I28" s="6">
        <f>SUMIF(本期抵消分录!C:C,B28,本期抵消分录!F:F)</f>
        <v>0</v>
      </c>
      <c r="J28" s="6">
        <f t="shared" si="6"/>
        <v>0</v>
      </c>
    </row>
    <row r="29" spans="1:10">
      <c r="A29" s="8" t="s">
        <v>641</v>
      </c>
      <c r="B29" s="22" t="s">
        <v>177</v>
      </c>
      <c r="C29" s="6">
        <v>0</v>
      </c>
      <c r="D29" s="6">
        <v>0</v>
      </c>
      <c r="F29" s="6">
        <v>0</v>
      </c>
      <c r="G29" s="6">
        <f t="shared" si="10"/>
        <v>0</v>
      </c>
      <c r="H29" s="6">
        <f>SUMIF(本期抵消分录!C:C,B29,本期抵消分录!E:E)</f>
        <v>0</v>
      </c>
      <c r="I29" s="6">
        <f>SUMIF(本期抵消分录!C:C,B29,本期抵消分录!F:F)</f>
        <v>0</v>
      </c>
      <c r="J29" s="6">
        <f t="shared" si="6"/>
        <v>0</v>
      </c>
    </row>
    <row r="30" spans="1:10">
      <c r="A30" s="8" t="s">
        <v>642</v>
      </c>
      <c r="B30" s="22" t="s">
        <v>178</v>
      </c>
      <c r="C30" s="6">
        <v>0</v>
      </c>
      <c r="D30" s="6">
        <v>0</v>
      </c>
      <c r="F30" s="6">
        <v>0</v>
      </c>
      <c r="G30" s="6">
        <f t="shared" si="10"/>
        <v>0</v>
      </c>
      <c r="H30" s="6">
        <f>SUMIF(本期抵消分录!C:C,B30,本期抵消分录!E:E)</f>
        <v>0</v>
      </c>
      <c r="I30" s="6">
        <f>SUMIF(本期抵消分录!C:C,B30,本期抵消分录!F:F)</f>
        <v>0</v>
      </c>
      <c r="J30" s="6">
        <f t="shared" si="6"/>
        <v>0</v>
      </c>
    </row>
    <row r="31" spans="1:10">
      <c r="A31" s="8" t="s">
        <v>643</v>
      </c>
      <c r="B31" s="22" t="s">
        <v>179</v>
      </c>
      <c r="C31" s="6">
        <v>68687.679999999993</v>
      </c>
      <c r="D31" s="6">
        <v>0</v>
      </c>
      <c r="F31" s="6">
        <v>0</v>
      </c>
      <c r="G31" s="6">
        <f t="shared" si="10"/>
        <v>68687.679999999993</v>
      </c>
      <c r="H31" s="6">
        <f>SUMIF(本期抵消分录!C:C,B31,本期抵消分录!E:E)</f>
        <v>0</v>
      </c>
      <c r="I31" s="6">
        <f>SUMIF(本期抵消分录!C:C,B31,本期抵消分录!F:F)</f>
        <v>0</v>
      </c>
      <c r="J31" s="6">
        <f t="shared" si="6"/>
        <v>68687.679999999993</v>
      </c>
    </row>
    <row r="32" spans="1:10">
      <c r="A32" s="8" t="s">
        <v>644</v>
      </c>
      <c r="B32" s="22" t="s">
        <v>180</v>
      </c>
      <c r="C32" s="6">
        <v>0</v>
      </c>
      <c r="D32" s="6">
        <v>486467.37</v>
      </c>
      <c r="F32" s="6">
        <v>0</v>
      </c>
      <c r="G32" s="6">
        <f t="shared" si="10"/>
        <v>486467.37</v>
      </c>
      <c r="H32" s="6">
        <f>SUMIF(本期抵消分录!C:C,B32,本期抵消分录!E:E)</f>
        <v>0</v>
      </c>
      <c r="I32" s="6">
        <f>SUMIF(本期抵消分录!C:C,B32,本期抵消分录!F:F)</f>
        <v>0</v>
      </c>
      <c r="J32" s="6">
        <f t="shared" si="6"/>
        <v>486467.37</v>
      </c>
    </row>
    <row r="33" spans="1:10">
      <c r="A33" s="8" t="s">
        <v>645</v>
      </c>
      <c r="B33" s="22" t="s">
        <v>181</v>
      </c>
      <c r="C33" s="6">
        <v>5221445.32</v>
      </c>
      <c r="D33" s="6">
        <v>5327921.0999999996</v>
      </c>
      <c r="F33" s="6">
        <v>0</v>
      </c>
      <c r="G33" s="6">
        <f t="shared" si="10"/>
        <v>10549366.42</v>
      </c>
      <c r="H33" s="6">
        <f>SUMIF(本期抵消分录!C:C,B33,本期抵消分录!E:E)</f>
        <v>0</v>
      </c>
      <c r="I33" s="6">
        <f>SUMIF(本期抵消分录!C:C,B33,本期抵消分录!F:F)</f>
        <v>0</v>
      </c>
      <c r="J33" s="6">
        <f t="shared" si="6"/>
        <v>10549366.42</v>
      </c>
    </row>
    <row r="34" spans="1:10">
      <c r="A34" s="8" t="s">
        <v>646</v>
      </c>
      <c r="B34" s="22" t="s">
        <v>182</v>
      </c>
      <c r="C34" s="6">
        <v>0</v>
      </c>
      <c r="D34" s="6">
        <v>0</v>
      </c>
      <c r="F34" s="6">
        <v>0</v>
      </c>
      <c r="G34" s="6">
        <f t="shared" si="10"/>
        <v>0</v>
      </c>
      <c r="H34" s="6">
        <f>SUMIF(本期抵消分录!C:C,B34,本期抵消分录!E:E)</f>
        <v>0</v>
      </c>
      <c r="I34" s="6">
        <f>SUMIF(本期抵消分录!C:C,B34,本期抵消分录!F:F)</f>
        <v>0</v>
      </c>
      <c r="J34" s="6">
        <f t="shared" si="6"/>
        <v>0</v>
      </c>
    </row>
    <row r="35" spans="1:10" s="25" customFormat="1">
      <c r="A35" s="24" t="s">
        <v>647</v>
      </c>
      <c r="B35" s="38"/>
      <c r="C35" s="25">
        <f t="shared" ref="C35:D35" si="11">SUM(C21:C24,C27:C34)</f>
        <v>50996019.93</v>
      </c>
      <c r="D35" s="25">
        <f t="shared" si="11"/>
        <v>17143571.420000002</v>
      </c>
      <c r="F35" s="25">
        <f t="shared" ref="F35" si="12">SUM(F21:F24,F27:F34)</f>
        <v>786189.3</v>
      </c>
      <c r="G35" s="25">
        <f>SUM(G21:G24,G27:G34)</f>
        <v>68925780.650000006</v>
      </c>
      <c r="H35" s="25">
        <f>SUM(H21:H24,H27:H34)</f>
        <v>0</v>
      </c>
      <c r="I35" s="25">
        <f>SUM(I21:I24,I27:I34)</f>
        <v>8445211.9399999995</v>
      </c>
      <c r="J35" s="25">
        <f>SUM(J21:J24,J27:J34)</f>
        <v>60480568.710000001</v>
      </c>
    </row>
    <row r="36" spans="1:10" s="29" customFormat="1">
      <c r="A36" s="28" t="s">
        <v>648</v>
      </c>
      <c r="B36" s="48"/>
      <c r="C36" s="29">
        <f t="shared" ref="C36:D36" si="13">C19+C35</f>
        <v>1302066946.99</v>
      </c>
      <c r="D36" s="29">
        <f t="shared" si="13"/>
        <v>614833168.32000005</v>
      </c>
      <c r="F36" s="29">
        <f t="shared" ref="F36" si="14">F19+F35</f>
        <v>27263445.32</v>
      </c>
      <c r="G36" s="29">
        <f>G19+G35</f>
        <v>1944163560.6300001</v>
      </c>
      <c r="H36" s="29">
        <f>H19+H35</f>
        <v>0</v>
      </c>
      <c r="I36" s="29">
        <f>I19+I35</f>
        <v>13445211.939999999</v>
      </c>
      <c r="J36" s="29">
        <f>J19+J35</f>
        <v>1930718348.6900001</v>
      </c>
    </row>
    <row r="37" spans="1:10">
      <c r="A37" s="12" t="s">
        <v>356</v>
      </c>
      <c r="B37" s="2"/>
    </row>
    <row r="38" spans="1:10">
      <c r="A38" s="13" t="s">
        <v>649</v>
      </c>
      <c r="B38" s="22"/>
    </row>
    <row r="39" spans="1:10">
      <c r="A39" s="13" t="s">
        <v>650</v>
      </c>
      <c r="B39" s="22" t="s">
        <v>183</v>
      </c>
      <c r="C39" s="6">
        <v>0</v>
      </c>
      <c r="D39" s="6">
        <v>0</v>
      </c>
      <c r="F39" s="6">
        <v>0</v>
      </c>
      <c r="G39" s="6">
        <f t="shared" ref="G39:G54" si="15">SUM(C39:F39)</f>
        <v>0</v>
      </c>
      <c r="H39" s="6">
        <f>SUMIF(本期抵消分录!C:C,B39,本期抵消分录!E:E)</f>
        <v>0</v>
      </c>
      <c r="I39" s="6">
        <f>SUMIF(本期抵消分录!C:C,B39,本期抵消分录!F:F)</f>
        <v>0</v>
      </c>
      <c r="J39" s="6">
        <f t="shared" ref="J39:J54" si="16">G39-H39+I39</f>
        <v>0</v>
      </c>
    </row>
    <row r="40" spans="1:10" ht="24">
      <c r="A40" s="220" t="s">
        <v>751</v>
      </c>
      <c r="B40" s="22" t="s">
        <v>184</v>
      </c>
      <c r="C40" s="6">
        <v>0</v>
      </c>
      <c r="D40" s="6">
        <v>0</v>
      </c>
      <c r="F40" s="6">
        <v>0</v>
      </c>
      <c r="G40" s="6">
        <f t="shared" si="15"/>
        <v>0</v>
      </c>
      <c r="H40" s="6">
        <f>SUMIF(本期抵消分录!C:C,B40,本期抵消分录!E:E)</f>
        <v>0</v>
      </c>
      <c r="I40" s="6">
        <f>SUMIF(本期抵消分录!C:C,B40,本期抵消分录!F:F)</f>
        <v>0</v>
      </c>
      <c r="J40" s="6">
        <f t="shared" si="16"/>
        <v>0</v>
      </c>
    </row>
    <row r="41" spans="1:10">
      <c r="A41" s="13" t="s">
        <v>651</v>
      </c>
      <c r="B41" s="22" t="s">
        <v>185</v>
      </c>
      <c r="C41" s="6">
        <v>0</v>
      </c>
      <c r="D41" s="6">
        <v>0</v>
      </c>
      <c r="F41" s="6">
        <v>0</v>
      </c>
      <c r="G41" s="6">
        <f t="shared" si="15"/>
        <v>0</v>
      </c>
      <c r="H41" s="6">
        <f>SUMIF(本期抵消分录!C:C,B41,本期抵消分录!E:E)</f>
        <v>0</v>
      </c>
      <c r="I41" s="6">
        <f>SUMIF(本期抵消分录!C:C,B41,本期抵消分录!F:F)</f>
        <v>0</v>
      </c>
      <c r="J41" s="6">
        <f t="shared" si="16"/>
        <v>0</v>
      </c>
    </row>
    <row r="42" spans="1:10">
      <c r="A42" s="13" t="s">
        <v>652</v>
      </c>
      <c r="B42" s="22" t="s">
        <v>186</v>
      </c>
      <c r="C42" s="6">
        <v>256065899.12</v>
      </c>
      <c r="D42" s="6">
        <v>132110509.31</v>
      </c>
      <c r="F42" s="6">
        <v>19625646.260000002</v>
      </c>
      <c r="G42" s="6">
        <f t="shared" si="15"/>
        <v>407802054.69</v>
      </c>
      <c r="H42" s="6">
        <f>SUMIF(本期抵消分录!C:C,B42,本期抵消分录!E:E)</f>
        <v>0</v>
      </c>
      <c r="I42" s="6">
        <f>SUMIF(本期抵消分录!C:C,B42,本期抵消分录!F:F)</f>
        <v>0</v>
      </c>
      <c r="J42" s="6">
        <f t="shared" si="16"/>
        <v>407802054.69</v>
      </c>
    </row>
    <row r="43" spans="1:10">
      <c r="A43" s="13" t="s">
        <v>653</v>
      </c>
      <c r="B43" s="22" t="s">
        <v>187</v>
      </c>
      <c r="C43" s="6">
        <v>462730556.63999999</v>
      </c>
      <c r="D43" s="6">
        <v>441792922.88</v>
      </c>
      <c r="F43" s="6">
        <v>0</v>
      </c>
      <c r="G43" s="6">
        <f t="shared" si="15"/>
        <v>904523479.51999998</v>
      </c>
      <c r="H43" s="6">
        <f>SUMIF(本期抵消分录!C:C,B43,本期抵消分录!E:E)</f>
        <v>0</v>
      </c>
      <c r="I43" s="6">
        <f>SUMIF(本期抵消分录!C:C,B43,本期抵消分录!F:F)</f>
        <v>0</v>
      </c>
      <c r="J43" s="6">
        <f t="shared" si="16"/>
        <v>904523479.51999998</v>
      </c>
    </row>
    <row r="44" spans="1:10" s="135" customFormat="1">
      <c r="A44" s="136" t="s">
        <v>654</v>
      </c>
      <c r="B44" s="212" t="s">
        <v>188</v>
      </c>
      <c r="C44" s="135">
        <f t="shared" ref="C44" si="17">SUM(C45:C47)</f>
        <v>8909337.9299999997</v>
      </c>
      <c r="D44" s="135">
        <f t="shared" ref="D44" si="18">SUM(D45:D47)</f>
        <v>193368.64</v>
      </c>
      <c r="F44" s="135">
        <f t="shared" ref="F44" si="19">SUM(F45:F47)</f>
        <v>0</v>
      </c>
      <c r="G44" s="135">
        <f t="shared" si="15"/>
        <v>9102706.5700000003</v>
      </c>
      <c r="H44" s="135">
        <f>SUMIF(本期抵消分录!C:C,B44,本期抵消分录!E:E)</f>
        <v>0</v>
      </c>
      <c r="I44" s="135">
        <f>SUMIF(本期抵消分录!C:C,B44,本期抵消分录!F:F)</f>
        <v>0</v>
      </c>
      <c r="J44" s="135">
        <f t="shared" si="16"/>
        <v>9102706.5700000003</v>
      </c>
    </row>
    <row r="45" spans="1:10">
      <c r="A45" s="13" t="s">
        <v>727</v>
      </c>
      <c r="B45" s="22"/>
      <c r="C45" s="6">
        <v>6810020.1900000004</v>
      </c>
      <c r="D45" s="6">
        <v>193368.64</v>
      </c>
      <c r="F45" s="6">
        <v>0</v>
      </c>
      <c r="G45" s="6">
        <f t="shared" si="15"/>
        <v>7003388.8300000001</v>
      </c>
      <c r="J45" s="6">
        <f t="shared" si="16"/>
        <v>7003388.8300000001</v>
      </c>
    </row>
    <row r="46" spans="1:10">
      <c r="A46" s="13" t="s">
        <v>728</v>
      </c>
      <c r="B46" s="22"/>
      <c r="C46" s="6">
        <v>1757825.54</v>
      </c>
      <c r="D46" s="6">
        <v>0</v>
      </c>
      <c r="F46" s="6">
        <v>0</v>
      </c>
      <c r="G46" s="6">
        <f t="shared" si="15"/>
        <v>1757825.54</v>
      </c>
      <c r="J46" s="6">
        <f t="shared" si="16"/>
        <v>1757825.54</v>
      </c>
    </row>
    <row r="47" spans="1:10">
      <c r="A47" s="13" t="s">
        <v>729</v>
      </c>
      <c r="B47" s="22"/>
      <c r="C47" s="6">
        <v>341492.2</v>
      </c>
      <c r="D47" s="6">
        <v>0</v>
      </c>
      <c r="F47" s="6">
        <v>0</v>
      </c>
      <c r="G47" s="6">
        <f t="shared" si="15"/>
        <v>341492.2</v>
      </c>
      <c r="J47" s="6">
        <f t="shared" si="16"/>
        <v>341492.2</v>
      </c>
    </row>
    <row r="48" spans="1:10">
      <c r="A48" s="13" t="s">
        <v>655</v>
      </c>
      <c r="B48" s="22" t="s">
        <v>189</v>
      </c>
      <c r="C48" s="6">
        <v>-481274.42</v>
      </c>
      <c r="D48" s="6">
        <v>653086.37</v>
      </c>
      <c r="F48" s="6">
        <v>-67303.23</v>
      </c>
      <c r="G48" s="6">
        <f t="shared" si="15"/>
        <v>104508.72</v>
      </c>
      <c r="H48" s="6">
        <f>SUMIF(本期抵消分录!C:C,B48,本期抵消分录!E:E)</f>
        <v>0</v>
      </c>
      <c r="I48" s="6">
        <f>SUMIF(本期抵消分录!C:C,B48,本期抵消分录!F:F)</f>
        <v>0</v>
      </c>
      <c r="J48" s="6">
        <f t="shared" si="16"/>
        <v>104508.72</v>
      </c>
    </row>
    <row r="49" spans="1:10">
      <c r="A49" s="13" t="s">
        <v>656</v>
      </c>
      <c r="B49" s="22" t="s">
        <v>190</v>
      </c>
      <c r="C49" s="6">
        <v>0</v>
      </c>
      <c r="D49" s="6">
        <v>0</v>
      </c>
      <c r="F49" s="6">
        <v>0</v>
      </c>
      <c r="G49" s="6">
        <f t="shared" si="15"/>
        <v>0</v>
      </c>
      <c r="H49" s="6">
        <f>SUMIF(本期抵消分录!C:C,B49,本期抵消分录!E:E)</f>
        <v>0</v>
      </c>
      <c r="I49" s="6">
        <f>SUMIF(本期抵消分录!C:C,B49,本期抵消分录!F:F)</f>
        <v>0</v>
      </c>
      <c r="J49" s="6">
        <f t="shared" si="16"/>
        <v>0</v>
      </c>
    </row>
    <row r="50" spans="1:10">
      <c r="A50" s="13" t="s">
        <v>657</v>
      </c>
      <c r="B50" s="22" t="s">
        <v>191</v>
      </c>
      <c r="C50" s="6">
        <v>0</v>
      </c>
      <c r="D50" s="6">
        <v>0</v>
      </c>
      <c r="F50" s="6">
        <v>0</v>
      </c>
      <c r="G50" s="6">
        <f t="shared" si="15"/>
        <v>0</v>
      </c>
      <c r="H50" s="6">
        <f>SUMIF(本期抵消分录!C:C,B50,本期抵消分录!E:E)</f>
        <v>0</v>
      </c>
      <c r="I50" s="6">
        <f>SUMIF(本期抵消分录!C:C,B50,本期抵消分录!F:F)</f>
        <v>0</v>
      </c>
      <c r="J50" s="6">
        <f t="shared" si="16"/>
        <v>0</v>
      </c>
    </row>
    <row r="51" spans="1:10">
      <c r="A51" s="13" t="s">
        <v>658</v>
      </c>
      <c r="B51" s="22" t="s">
        <v>192</v>
      </c>
      <c r="C51" s="6">
        <v>346550764.08999997</v>
      </c>
      <c r="D51" s="6">
        <v>460355.79</v>
      </c>
      <c r="F51" s="6">
        <v>250071.79</v>
      </c>
      <c r="G51" s="6">
        <f t="shared" si="15"/>
        <v>347261191.67000002</v>
      </c>
      <c r="H51" s="6">
        <f>SUMIF(本期抵消分录!C:C,B51,本期抵消分录!E:E)</f>
        <v>5000000</v>
      </c>
      <c r="I51" s="6">
        <f>SUMIF(本期抵消分录!C:C,B51,本期抵消分录!F:F)</f>
        <v>0</v>
      </c>
      <c r="J51" s="6">
        <f t="shared" si="16"/>
        <v>342261191.67000002</v>
      </c>
    </row>
    <row r="52" spans="1:10">
      <c r="A52" s="13" t="s">
        <v>781</v>
      </c>
      <c r="B52" s="22" t="s">
        <v>782</v>
      </c>
      <c r="C52" s="6">
        <v>0</v>
      </c>
      <c r="D52" s="6">
        <v>0</v>
      </c>
      <c r="F52" s="6">
        <v>0</v>
      </c>
      <c r="G52" s="6">
        <f t="shared" si="15"/>
        <v>0</v>
      </c>
      <c r="H52" s="6">
        <f>SUMIF(本期抵消分录!C:C,B52,本期抵消分录!E:E)</f>
        <v>0</v>
      </c>
      <c r="I52" s="6">
        <f>SUMIF(本期抵消分录!C:C,B52,本期抵消分录!F:F)</f>
        <v>0</v>
      </c>
      <c r="J52" s="6">
        <f t="shared" ref="J52" si="20">G52-H52+I52</f>
        <v>0</v>
      </c>
    </row>
    <row r="53" spans="1:10">
      <c r="A53" s="13" t="s">
        <v>630</v>
      </c>
      <c r="B53" s="22" t="s">
        <v>193</v>
      </c>
      <c r="C53" s="6">
        <v>0</v>
      </c>
      <c r="D53" s="6">
        <v>0</v>
      </c>
      <c r="F53" s="6">
        <v>0</v>
      </c>
      <c r="G53" s="6">
        <f t="shared" si="15"/>
        <v>0</v>
      </c>
      <c r="H53" s="6">
        <f>SUMIF(本期抵消分录!C:C,B53,本期抵消分录!E:E)</f>
        <v>0</v>
      </c>
      <c r="I53" s="6">
        <f>SUMIF(本期抵消分录!C:C,B53,本期抵消分录!F:F)</f>
        <v>0</v>
      </c>
      <c r="J53" s="6">
        <f t="shared" si="16"/>
        <v>0</v>
      </c>
    </row>
    <row r="54" spans="1:10">
      <c r="A54" s="13" t="s">
        <v>659</v>
      </c>
      <c r="B54" s="22" t="s">
        <v>194</v>
      </c>
      <c r="C54" s="6">
        <v>0</v>
      </c>
      <c r="D54" s="6">
        <v>0</v>
      </c>
      <c r="F54" s="6">
        <v>0</v>
      </c>
      <c r="G54" s="6">
        <f t="shared" si="15"/>
        <v>0</v>
      </c>
      <c r="H54" s="6">
        <f>SUMIF(本期抵消分录!C:C,B54,本期抵消分录!E:E)</f>
        <v>0</v>
      </c>
      <c r="I54" s="6">
        <f>SUMIF(本期抵消分录!C:C,B54,本期抵消分录!F:F)</f>
        <v>0</v>
      </c>
      <c r="J54" s="6">
        <f t="shared" si="16"/>
        <v>0</v>
      </c>
    </row>
    <row r="55" spans="1:10" s="26" customFormat="1">
      <c r="A55" s="27" t="s">
        <v>660</v>
      </c>
      <c r="B55" s="36"/>
      <c r="C55" s="26">
        <f t="shared" ref="C55" si="21">SUM(C39:C44,C48:C54)</f>
        <v>1073775283.3599999</v>
      </c>
      <c r="D55" s="26">
        <f t="shared" ref="D55" si="22">SUM(D39:D44,D48:D54)</f>
        <v>575210242.99000001</v>
      </c>
      <c r="F55" s="26">
        <f t="shared" ref="F55" si="23">SUM(F39:F44,F48:F54)</f>
        <v>19808414.82</v>
      </c>
      <c r="G55" s="26">
        <f>SUM(G39:G44,G48:G54)</f>
        <v>1668793941.1700001</v>
      </c>
      <c r="H55" s="26">
        <f>SUM(H39:H44,H48:H54)</f>
        <v>5000000</v>
      </c>
      <c r="I55" s="26">
        <f>SUM(I39:I44,I48:I54)</f>
        <v>0</v>
      </c>
      <c r="J55" s="26">
        <f>SUM(J39:J44,J48:J54)</f>
        <v>1663793941.1700001</v>
      </c>
    </row>
    <row r="56" spans="1:10">
      <c r="A56" s="13" t="s">
        <v>661</v>
      </c>
      <c r="B56" s="22" t="s">
        <v>195</v>
      </c>
      <c r="J56" s="6">
        <f t="shared" ref="J56:J62" si="24">G56-H56+I56</f>
        <v>0</v>
      </c>
    </row>
    <row r="57" spans="1:10">
      <c r="A57" s="13" t="s">
        <v>662</v>
      </c>
      <c r="B57" s="22" t="s">
        <v>196</v>
      </c>
      <c r="C57" s="6">
        <v>0</v>
      </c>
      <c r="D57" s="6">
        <v>0</v>
      </c>
      <c r="F57" s="6">
        <v>0</v>
      </c>
      <c r="G57" s="6">
        <f t="shared" ref="G57:G62" si="25">SUM(C57:F57)</f>
        <v>0</v>
      </c>
      <c r="H57" s="6">
        <f>SUMIF(本期抵消分录!C:C,B57,本期抵消分录!E:E)</f>
        <v>0</v>
      </c>
      <c r="I57" s="6">
        <f>SUMIF(本期抵消分录!C:C,B57,本期抵消分录!F:F)</f>
        <v>0</v>
      </c>
      <c r="J57" s="6">
        <f t="shared" si="24"/>
        <v>0</v>
      </c>
    </row>
    <row r="58" spans="1:10">
      <c r="A58" s="13" t="s">
        <v>663</v>
      </c>
      <c r="B58" s="22" t="s">
        <v>197</v>
      </c>
      <c r="C58" s="6">
        <v>0</v>
      </c>
      <c r="D58" s="6">
        <v>0</v>
      </c>
      <c r="F58" s="6">
        <v>0</v>
      </c>
      <c r="G58" s="6">
        <f t="shared" si="25"/>
        <v>0</v>
      </c>
      <c r="H58" s="6">
        <f>SUMIF(本期抵消分录!C:C,B58,本期抵消分录!E:E)</f>
        <v>0</v>
      </c>
      <c r="I58" s="6">
        <f>SUMIF(本期抵消分录!C:C,B58,本期抵消分录!F:F)</f>
        <v>0</v>
      </c>
      <c r="J58" s="6">
        <f t="shared" si="24"/>
        <v>0</v>
      </c>
    </row>
    <row r="59" spans="1:10">
      <c r="A59" s="13" t="s">
        <v>664</v>
      </c>
      <c r="B59" s="22" t="s">
        <v>198</v>
      </c>
      <c r="C59" s="6">
        <v>2009316.73</v>
      </c>
      <c r="D59" s="6">
        <v>1633724.17</v>
      </c>
      <c r="F59" s="6">
        <v>0</v>
      </c>
      <c r="G59" s="6">
        <f t="shared" si="25"/>
        <v>3643040.9</v>
      </c>
      <c r="H59" s="6">
        <f>SUMIF(本期抵消分录!C:C,B59,本期抵消分录!E:E)</f>
        <v>0</v>
      </c>
      <c r="I59" s="6">
        <f>SUMIF(本期抵消分录!C:C,B59,本期抵消分录!F:F)</f>
        <v>0</v>
      </c>
      <c r="J59" s="6">
        <f t="shared" si="24"/>
        <v>3643040.9</v>
      </c>
    </row>
    <row r="60" spans="1:10">
      <c r="A60" s="13" t="s">
        <v>665</v>
      </c>
      <c r="B60" s="22" t="s">
        <v>199</v>
      </c>
      <c r="C60" s="6">
        <v>0</v>
      </c>
      <c r="D60" s="6">
        <v>0</v>
      </c>
      <c r="F60" s="6">
        <v>0</v>
      </c>
      <c r="G60" s="6">
        <f t="shared" si="25"/>
        <v>0</v>
      </c>
      <c r="H60" s="6">
        <f>SUMIF(本期抵消分录!C:C,B60,本期抵消分录!E:E)</f>
        <v>0</v>
      </c>
      <c r="I60" s="6">
        <f>SUMIF(本期抵消分录!C:C,B60,本期抵消分录!F:F)</f>
        <v>0</v>
      </c>
      <c r="J60" s="6">
        <f t="shared" si="24"/>
        <v>0</v>
      </c>
    </row>
    <row r="61" spans="1:10">
      <c r="A61" s="13" t="s">
        <v>666</v>
      </c>
      <c r="B61" s="22" t="s">
        <v>200</v>
      </c>
      <c r="C61" s="6">
        <v>520607.34</v>
      </c>
      <c r="D61" s="6">
        <v>0</v>
      </c>
      <c r="F61" s="6">
        <v>0</v>
      </c>
      <c r="G61" s="6">
        <f t="shared" si="25"/>
        <v>520607.34</v>
      </c>
      <c r="H61" s="6">
        <f>SUMIF(本期抵消分录!C:C,B61,本期抵消分录!E:E)</f>
        <v>0</v>
      </c>
      <c r="I61" s="6">
        <f>SUMIF(本期抵消分录!C:C,B61,本期抵消分录!F:F)</f>
        <v>0</v>
      </c>
      <c r="J61" s="6">
        <f t="shared" si="24"/>
        <v>520607.34</v>
      </c>
    </row>
    <row r="62" spans="1:10">
      <c r="A62" s="13" t="s">
        <v>667</v>
      </c>
      <c r="B62" s="22" t="s">
        <v>201</v>
      </c>
      <c r="C62" s="6">
        <v>0</v>
      </c>
      <c r="D62" s="6">
        <v>0</v>
      </c>
      <c r="F62" s="6">
        <v>0</v>
      </c>
      <c r="G62" s="6">
        <f t="shared" si="25"/>
        <v>0</v>
      </c>
      <c r="H62" s="6">
        <f>SUMIF(本期抵消分录!C:C,B62,本期抵消分录!E:E)</f>
        <v>0</v>
      </c>
      <c r="I62" s="6">
        <f>SUMIF(本期抵消分录!C:C,B62,本期抵消分录!F:F)</f>
        <v>0</v>
      </c>
      <c r="J62" s="6">
        <f t="shared" si="24"/>
        <v>0</v>
      </c>
    </row>
    <row r="63" spans="1:10" s="26" customFormat="1">
      <c r="A63" s="27" t="s">
        <v>668</v>
      </c>
      <c r="B63" s="36"/>
      <c r="C63" s="26">
        <f t="shared" ref="C63" si="26">SUM(C57:C62)</f>
        <v>2529924.0699999998</v>
      </c>
      <c r="D63" s="26">
        <f t="shared" ref="D63" si="27">SUM(D57:D62)</f>
        <v>1633724.17</v>
      </c>
      <c r="F63" s="26">
        <f t="shared" ref="F63" si="28">SUM(F57:F62)</f>
        <v>0</v>
      </c>
      <c r="G63" s="26">
        <f>SUM(G57:G62)</f>
        <v>4163648.24</v>
      </c>
      <c r="H63" s="26">
        <f>SUM(H57:H62)</f>
        <v>0</v>
      </c>
      <c r="I63" s="26">
        <f>SUM(I57:I62)</f>
        <v>0</v>
      </c>
      <c r="J63" s="26">
        <f>SUM(J57:J62)</f>
        <v>4163648.24</v>
      </c>
    </row>
    <row r="64" spans="1:10" s="25" customFormat="1">
      <c r="A64" s="30" t="s">
        <v>669</v>
      </c>
      <c r="B64" s="38"/>
      <c r="C64" s="25">
        <f t="shared" ref="C64" si="29">SUM(C55,C63)</f>
        <v>1076305207.4300001</v>
      </c>
      <c r="D64" s="25">
        <f t="shared" ref="D64" si="30">SUM(D55,D63)</f>
        <v>576843967.15999997</v>
      </c>
      <c r="F64" s="25">
        <f t="shared" ref="F64" si="31">SUM(F55,F63)</f>
        <v>19808414.82</v>
      </c>
      <c r="G64" s="25">
        <f>SUM(G55,G63)</f>
        <v>1672957589.4100001</v>
      </c>
      <c r="H64" s="25">
        <f>SUM(H55,H63)</f>
        <v>5000000</v>
      </c>
      <c r="I64" s="25">
        <f>SUM(I55,I63)</f>
        <v>0</v>
      </c>
      <c r="J64" s="25">
        <f>SUM(J55,J63)</f>
        <v>1667957589.4100001</v>
      </c>
    </row>
    <row r="65" spans="1:11">
      <c r="A65" s="13" t="s">
        <v>670</v>
      </c>
      <c r="B65" s="22"/>
      <c r="J65" s="6">
        <f t="shared" ref="J65:J71" si="32">G65-H65+I65</f>
        <v>0</v>
      </c>
    </row>
    <row r="66" spans="1:11">
      <c r="A66" s="13" t="s">
        <v>671</v>
      </c>
      <c r="B66" s="22" t="s">
        <v>202</v>
      </c>
      <c r="C66" s="6">
        <v>80000000</v>
      </c>
      <c r="D66" s="6">
        <v>12500000</v>
      </c>
      <c r="F66" s="6">
        <v>695211.94</v>
      </c>
      <c r="G66" s="6">
        <f t="shared" ref="G66:G72" si="33">SUM(C66:F66)</f>
        <v>93195211.939999998</v>
      </c>
      <c r="H66" s="6">
        <f>SUMIF(本期抵消分录!C:C,B66,本期抵消分录!E:E)</f>
        <v>13195211.939999999</v>
      </c>
      <c r="I66" s="6">
        <f>SUMIF(本期抵消分录!C:C,B66,本期抵消分录!F:F)</f>
        <v>0</v>
      </c>
      <c r="J66" s="6">
        <f t="shared" si="32"/>
        <v>80000000</v>
      </c>
    </row>
    <row r="67" spans="1:11">
      <c r="A67" s="13" t="s">
        <v>672</v>
      </c>
      <c r="B67" s="22" t="s">
        <v>203</v>
      </c>
      <c r="C67" s="6">
        <v>24991290.809999999</v>
      </c>
      <c r="D67" s="6">
        <v>0</v>
      </c>
      <c r="F67" s="6">
        <v>0</v>
      </c>
      <c r="G67" s="6">
        <f t="shared" si="33"/>
        <v>24991290.809999999</v>
      </c>
      <c r="H67" s="6">
        <f>SUMIF(本期抵消分录!C:C,B67,本期抵消分录!E:E)</f>
        <v>0</v>
      </c>
      <c r="I67" s="6">
        <f>SUMIF(本期抵消分录!C:C,B67,本期抵消分录!F:F)</f>
        <v>0</v>
      </c>
      <c r="J67" s="6">
        <f t="shared" si="32"/>
        <v>24991290.809999999</v>
      </c>
    </row>
    <row r="68" spans="1:11">
      <c r="A68" s="13" t="s">
        <v>783</v>
      </c>
      <c r="B68" s="22" t="s">
        <v>204</v>
      </c>
      <c r="C68" s="6">
        <v>0</v>
      </c>
      <c r="D68" s="6">
        <v>0</v>
      </c>
      <c r="F68" s="6">
        <v>-282243.18</v>
      </c>
      <c r="G68" s="6">
        <f t="shared" si="33"/>
        <v>-282243.18</v>
      </c>
      <c r="H68" s="6">
        <f>SUMIF(本期抵消分录!C:C,B68,本期抵消分录!E:E)</f>
        <v>0</v>
      </c>
      <c r="I68" s="6">
        <f>SUMIF(本期抵消分录!C:C,B68,本期抵消分录!F:F)</f>
        <v>0</v>
      </c>
      <c r="J68" s="6">
        <f t="shared" si="32"/>
        <v>-282243.18</v>
      </c>
    </row>
    <row r="69" spans="1:11" s="135" customFormat="1">
      <c r="A69" s="136" t="s">
        <v>673</v>
      </c>
      <c r="B69" s="212" t="s">
        <v>205</v>
      </c>
      <c r="C69" s="135">
        <f t="shared" ref="C69:D69" si="34">SUM(C70:C71)</f>
        <v>40745328.390000001</v>
      </c>
      <c r="D69" s="135">
        <f t="shared" si="34"/>
        <v>13152044.720000001</v>
      </c>
      <c r="F69" s="135">
        <f t="shared" ref="F69" si="35">SUM(F70:F71)</f>
        <v>0</v>
      </c>
      <c r="G69" s="135">
        <f t="shared" si="33"/>
        <v>53897373.109999999</v>
      </c>
      <c r="H69" s="135">
        <f>SUMIF(本期抵消分录!C:C,B69,本期抵消分录!E:E)</f>
        <v>13152044.720000001</v>
      </c>
      <c r="I69" s="135">
        <f>SUMIF(本期抵消分录!C:C,B69,本期抵消分录!F:F)</f>
        <v>0</v>
      </c>
      <c r="J69" s="135">
        <f t="shared" si="32"/>
        <v>40745328.390000001</v>
      </c>
    </row>
    <row r="70" spans="1:11">
      <c r="A70" s="13" t="s">
        <v>674</v>
      </c>
      <c r="B70" s="22" t="s">
        <v>206</v>
      </c>
      <c r="C70" s="6">
        <v>33724331.039999999</v>
      </c>
      <c r="D70" s="6">
        <v>6366129.2300000004</v>
      </c>
      <c r="F70" s="6">
        <v>0</v>
      </c>
      <c r="G70" s="6">
        <f t="shared" si="33"/>
        <v>40090460.270000003</v>
      </c>
      <c r="H70" s="6">
        <f>SUMIF(本期抵消分录!C:C,B70,本期抵消分录!E:E)</f>
        <v>6366129.2300000004</v>
      </c>
      <c r="I70" s="6">
        <f>SUMIF(本期抵消分录!C:C,B70,本期抵消分录!F:F)</f>
        <v>0</v>
      </c>
      <c r="J70" s="6">
        <f t="shared" si="32"/>
        <v>33724331.039999999</v>
      </c>
    </row>
    <row r="71" spans="1:11">
      <c r="A71" s="13" t="s">
        <v>675</v>
      </c>
      <c r="B71" s="22" t="s">
        <v>207</v>
      </c>
      <c r="C71" s="6">
        <v>7020997.3499999996</v>
      </c>
      <c r="D71" s="6">
        <v>6785915.4900000002</v>
      </c>
      <c r="F71" s="6">
        <v>0</v>
      </c>
      <c r="G71" s="6">
        <f t="shared" si="33"/>
        <v>13806912.84</v>
      </c>
      <c r="H71" s="6">
        <f>SUMIF(本期抵消分录!C:C,B71,本期抵消分录!E:E)</f>
        <v>6785915.4900000002</v>
      </c>
      <c r="I71" s="6">
        <f>SUMIF(本期抵消分录!C:C,B71,本期抵消分录!F:F)</f>
        <v>0</v>
      </c>
      <c r="J71" s="6">
        <f t="shared" si="32"/>
        <v>7020997.3499999996</v>
      </c>
    </row>
    <row r="72" spans="1:11">
      <c r="A72" s="13" t="s">
        <v>676</v>
      </c>
      <c r="B72" s="22" t="s">
        <v>208</v>
      </c>
      <c r="C72" s="6">
        <v>80025120.359999999</v>
      </c>
      <c r="D72" s="6">
        <v>12337156.439999999</v>
      </c>
      <c r="F72" s="6">
        <v>7042061.7400000002</v>
      </c>
      <c r="G72" s="6">
        <f t="shared" si="33"/>
        <v>99404338.540000007</v>
      </c>
      <c r="H72" s="6">
        <f>H131</f>
        <v>5993678.7000000002</v>
      </c>
      <c r="I72" s="6">
        <f>I131</f>
        <v>9459826.9800000004</v>
      </c>
      <c r="J72" s="6">
        <f>G72-H72+I72</f>
        <v>102870486.81999999</v>
      </c>
    </row>
    <row r="73" spans="1:11" s="45" customFormat="1">
      <c r="A73" s="46" t="s">
        <v>677</v>
      </c>
      <c r="B73" s="50"/>
      <c r="C73" s="45">
        <f t="shared" ref="C73:D73" si="36">SUM(C66:C69,C72)</f>
        <v>225761739.56</v>
      </c>
      <c r="D73" s="45">
        <f t="shared" si="36"/>
        <v>37989201.159999996</v>
      </c>
      <c r="E73" s="45">
        <f t="shared" ref="E73:F73" si="37">SUM(E66:E69,E72)</f>
        <v>0</v>
      </c>
      <c r="F73" s="45">
        <f t="shared" si="37"/>
        <v>7455030.5</v>
      </c>
      <c r="G73" s="45">
        <f>SUM(G66:G69,G72)</f>
        <v>271205971.22000003</v>
      </c>
      <c r="H73" s="45">
        <f t="shared" ref="H73:J73" si="38">SUM(H66:H69,H72)</f>
        <v>32340935.359999999</v>
      </c>
      <c r="I73" s="45">
        <f t="shared" si="38"/>
        <v>9459826.9800000004</v>
      </c>
      <c r="J73" s="45">
        <f t="shared" si="38"/>
        <v>248324862.84</v>
      </c>
    </row>
    <row r="74" spans="1:11">
      <c r="A74" s="13" t="s">
        <v>678</v>
      </c>
      <c r="B74" s="22" t="s">
        <v>209</v>
      </c>
      <c r="F74" s="6">
        <v>0</v>
      </c>
      <c r="G74" s="6">
        <f>SUM(C74:F74)</f>
        <v>0</v>
      </c>
      <c r="H74" s="6">
        <f>SUMIF(本期抵消分录!C:C,B74,本期抵消分录!E:E)</f>
        <v>0</v>
      </c>
      <c r="I74" s="6">
        <f>SUMIF(本期抵消分录!C:C,B74,本期抵消分录!F:F)</f>
        <v>14435896.439999999</v>
      </c>
      <c r="J74" s="6">
        <f>G74-H74+I74</f>
        <v>14435896.439999999</v>
      </c>
    </row>
    <row r="75" spans="1:11" s="25" customFormat="1">
      <c r="A75" s="30" t="s">
        <v>679</v>
      </c>
      <c r="B75" s="38"/>
      <c r="C75" s="25">
        <f t="shared" ref="C75" si="39">C73</f>
        <v>225761739.56</v>
      </c>
      <c r="D75" s="25">
        <f t="shared" ref="D75" si="40">D73</f>
        <v>37989201.159999996</v>
      </c>
      <c r="E75" s="25">
        <f t="shared" ref="E75:G75" si="41">E73+E74</f>
        <v>0</v>
      </c>
      <c r="F75" s="25">
        <f>F73+F74</f>
        <v>7455030.5</v>
      </c>
      <c r="G75" s="25">
        <f t="shared" si="41"/>
        <v>271205971.22000003</v>
      </c>
      <c r="H75" s="25">
        <f>H73</f>
        <v>32340935.359999999</v>
      </c>
      <c r="I75" s="25">
        <f>I73</f>
        <v>9459826.9800000004</v>
      </c>
      <c r="J75" s="25">
        <f>J73+J74</f>
        <v>262760759.28</v>
      </c>
    </row>
    <row r="76" spans="1:11" s="29" customFormat="1">
      <c r="A76" s="31" t="s">
        <v>680</v>
      </c>
      <c r="B76" s="48"/>
      <c r="C76" s="29">
        <f t="shared" ref="C76:D76" si="42">C64+C75</f>
        <v>1302066946.99</v>
      </c>
      <c r="D76" s="29">
        <f t="shared" si="42"/>
        <v>614833168.32000005</v>
      </c>
      <c r="F76" s="29">
        <f t="shared" ref="F76" si="43">F64+F75</f>
        <v>27263445.32</v>
      </c>
      <c r="G76" s="29">
        <f>G64+G75</f>
        <v>1944163560.6300001</v>
      </c>
      <c r="H76" s="29">
        <f>H64+H75</f>
        <v>37340935.359999999</v>
      </c>
      <c r="I76" s="29">
        <f>I64+I75</f>
        <v>9459826.9800000004</v>
      </c>
      <c r="J76" s="29">
        <f>J64+J75</f>
        <v>1930718348.6900001</v>
      </c>
    </row>
    <row r="77" spans="1:11" s="20" customFormat="1">
      <c r="A77" s="19"/>
      <c r="B77" s="213"/>
      <c r="C77" s="20" t="str">
        <f t="shared" ref="C77:D77" si="44">IF(ABS(INT((C36-C76)*100+0.5))&lt;&gt;0,"资产负债不等 "," ")</f>
        <v/>
      </c>
      <c r="D77" s="20" t="str">
        <f t="shared" si="44"/>
        <v/>
      </c>
      <c r="F77" s="20" t="str">
        <f>IF(ABS(INT((F36-F76)*100+0.5))&lt;&gt;0,"资产负债不等 "," ")</f>
        <v/>
      </c>
      <c r="G77" s="20" t="str">
        <f>IF(ABS(INT((G36-G76)*100+0.5))&lt;&gt;0,"资产负债不等 "," ")</f>
        <v/>
      </c>
      <c r="J77" s="20" t="str">
        <f>IF(ABS(INT((J36-J76)*100+0.5))&lt;&gt;0,"资产负债不等 "," ")</f>
        <v xml:space="preserve"> </v>
      </c>
      <c r="K77" s="20">
        <f>J36-J76</f>
        <v>0</v>
      </c>
    </row>
    <row r="79" spans="1:11">
      <c r="A79" s="14" t="s">
        <v>87</v>
      </c>
      <c r="B79" s="2"/>
    </row>
    <row r="80" spans="1:11" s="26" customFormat="1">
      <c r="A80" s="32" t="s">
        <v>681</v>
      </c>
      <c r="B80" s="36" t="s">
        <v>210</v>
      </c>
      <c r="C80" s="26">
        <v>376328131.85000002</v>
      </c>
      <c r="D80" s="26">
        <v>292876465.61000001</v>
      </c>
      <c r="F80" s="26">
        <v>908383.88</v>
      </c>
      <c r="G80" s="26">
        <f>SUM(C80:F80)</f>
        <v>670112981.34000003</v>
      </c>
      <c r="H80" s="26">
        <f>SUM(H81:H82)</f>
        <v>135000</v>
      </c>
      <c r="I80" s="26">
        <f>SUM(I81:I82)</f>
        <v>0</v>
      </c>
      <c r="J80" s="26">
        <f>G80-H80+I80</f>
        <v>669977981.34000003</v>
      </c>
    </row>
    <row r="81" spans="1:10">
      <c r="A81" s="5" t="s">
        <v>682</v>
      </c>
      <c r="B81" s="53" t="s">
        <v>211</v>
      </c>
      <c r="C81" s="6">
        <v>369980660.48000002</v>
      </c>
      <c r="D81" s="6">
        <v>292876465.61000001</v>
      </c>
      <c r="F81" s="6">
        <v>685423.52</v>
      </c>
      <c r="G81" s="6">
        <f>SUM(C81:F81)</f>
        <v>663542549.61000001</v>
      </c>
      <c r="H81" s="6">
        <f>SUMIF(本期抵消分录!C:C,B81,本期抵消分录!E:E)</f>
        <v>0</v>
      </c>
      <c r="I81" s="6">
        <f>SUMIF(本期抵消分录!C:C,B81,本期抵消分录!F:F)</f>
        <v>0</v>
      </c>
      <c r="J81" s="6">
        <f>G81-H81+I81</f>
        <v>663542549.61000001</v>
      </c>
    </row>
    <row r="82" spans="1:10">
      <c r="A82" s="5" t="s">
        <v>683</v>
      </c>
      <c r="B82" s="53" t="s">
        <v>212</v>
      </c>
      <c r="C82" s="6">
        <v>6347471.3700000001</v>
      </c>
      <c r="D82" s="6">
        <v>0</v>
      </c>
      <c r="F82" s="6">
        <v>222960.36</v>
      </c>
      <c r="G82" s="6">
        <f>SUM(C82:F82)</f>
        <v>6570431.7300000004</v>
      </c>
      <c r="H82" s="6">
        <f>SUMIF(本期抵消分录!C:C,B82,本期抵消分录!E:E)</f>
        <v>135000</v>
      </c>
      <c r="I82" s="6">
        <f>SUMIF(本期抵消分录!C:C,B82,本期抵消分录!F:F)</f>
        <v>0</v>
      </c>
      <c r="J82" s="6">
        <f>G82-H82+I82</f>
        <v>6435431.7300000004</v>
      </c>
    </row>
    <row r="83" spans="1:10" s="26" customFormat="1">
      <c r="A83" s="32" t="s">
        <v>684</v>
      </c>
      <c r="B83" s="36"/>
      <c r="C83" s="26">
        <f t="shared" ref="C83" si="45">SUM(C84,C87:C90,C94)</f>
        <v>376963420.41000003</v>
      </c>
      <c r="D83" s="26">
        <f t="shared" ref="D83" si="46">SUM(D84,D87:D90,D94)</f>
        <v>279337302.38</v>
      </c>
      <c r="F83" s="26">
        <f t="shared" ref="F83" si="47">SUM(F84,F87:F90,F94)</f>
        <v>526313.01</v>
      </c>
      <c r="G83" s="26">
        <f>SUM(G84,G87:G90,G94)</f>
        <v>656827035.79999995</v>
      </c>
      <c r="H83" s="26">
        <f>SUM(H84,H87:H90,H94)</f>
        <v>0</v>
      </c>
      <c r="I83" s="26">
        <f>SUM(I84,I87:I90,I94)</f>
        <v>135000</v>
      </c>
      <c r="J83" s="26">
        <f>SUM(J84,J87:J90,J94)</f>
        <v>656692035.79999995</v>
      </c>
    </row>
    <row r="84" spans="1:10">
      <c r="A84" s="5" t="s">
        <v>685</v>
      </c>
      <c r="B84" s="53" t="s">
        <v>213</v>
      </c>
      <c r="C84" s="6">
        <v>344848418.89999998</v>
      </c>
      <c r="D84" s="6">
        <v>258421883.31</v>
      </c>
      <c r="F84" s="6">
        <v>0</v>
      </c>
      <c r="G84" s="6">
        <f t="shared" ref="G84:G97" si="48">SUM(C84:F84)</f>
        <v>603270302.21000004</v>
      </c>
      <c r="H84" s="6">
        <f>H85+H86</f>
        <v>0</v>
      </c>
      <c r="I84" s="6">
        <f>I85+I86</f>
        <v>0</v>
      </c>
      <c r="J84" s="6">
        <f t="shared" ref="J84:J94" si="49">G84+H84-I84</f>
        <v>603270302.21000004</v>
      </c>
    </row>
    <row r="85" spans="1:10">
      <c r="A85" s="5" t="s">
        <v>686</v>
      </c>
      <c r="B85" s="53" t="s">
        <v>214</v>
      </c>
      <c r="C85" s="6">
        <v>344848418.89999998</v>
      </c>
      <c r="D85" s="6">
        <v>258421883.31</v>
      </c>
      <c r="F85" s="6">
        <v>0</v>
      </c>
      <c r="G85" s="6">
        <f t="shared" si="48"/>
        <v>603270302.21000004</v>
      </c>
      <c r="H85" s="6">
        <f>SUMIF(本期抵消分录!C:C,B85,本期抵消分录!E:E)</f>
        <v>0</v>
      </c>
      <c r="I85" s="6">
        <f>SUMIF(本期抵消分录!C:C,B85,本期抵消分录!F:F)</f>
        <v>0</v>
      </c>
      <c r="J85" s="6">
        <f t="shared" si="49"/>
        <v>603270302.21000004</v>
      </c>
    </row>
    <row r="86" spans="1:10">
      <c r="A86" s="5" t="s">
        <v>687</v>
      </c>
      <c r="B86" s="53" t="s">
        <v>215</v>
      </c>
      <c r="C86" s="6">
        <v>0</v>
      </c>
      <c r="D86" s="6">
        <v>0</v>
      </c>
      <c r="F86" s="6">
        <v>0</v>
      </c>
      <c r="G86" s="6">
        <f t="shared" si="48"/>
        <v>0</v>
      </c>
      <c r="H86" s="6">
        <f>SUMIF(本期抵消分录!C:C,B86,本期抵消分录!E:E)</f>
        <v>0</v>
      </c>
      <c r="I86" s="6">
        <f>SUMIF(本期抵消分录!C:C,B86,本期抵消分录!F:F)</f>
        <v>0</v>
      </c>
      <c r="J86" s="6">
        <f t="shared" si="49"/>
        <v>0</v>
      </c>
    </row>
    <row r="87" spans="1:10">
      <c r="A87" s="5" t="s">
        <v>792</v>
      </c>
      <c r="B87" s="53" t="s">
        <v>216</v>
      </c>
      <c r="C87" s="6">
        <v>2442016.23</v>
      </c>
      <c r="D87" s="6">
        <v>1164799.19</v>
      </c>
      <c r="F87" s="6">
        <v>0</v>
      </c>
      <c r="G87" s="6">
        <f t="shared" si="48"/>
        <v>3606815.42</v>
      </c>
      <c r="H87" s="6">
        <f>SUMIF(本期抵消分录!C:C,B87,本期抵消分录!E:E)</f>
        <v>0</v>
      </c>
      <c r="I87" s="6">
        <f>SUMIF(本期抵消分录!C:C,B87,本期抵消分录!F:F)</f>
        <v>0</v>
      </c>
      <c r="J87" s="6">
        <f t="shared" si="49"/>
        <v>3606815.42</v>
      </c>
    </row>
    <row r="88" spans="1:10">
      <c r="A88" s="5" t="s">
        <v>688</v>
      </c>
      <c r="B88" s="53" t="s">
        <v>217</v>
      </c>
      <c r="C88" s="6">
        <v>12363005.869999999</v>
      </c>
      <c r="D88" s="6">
        <v>11661302.08</v>
      </c>
      <c r="F88" s="6">
        <v>7294.68</v>
      </c>
      <c r="G88" s="6">
        <f t="shared" si="48"/>
        <v>24031602.629999999</v>
      </c>
      <c r="H88" s="6">
        <f>SUMIF(本期抵消分录!C:C,B88,本期抵消分录!E:E)</f>
        <v>0</v>
      </c>
      <c r="I88" s="6">
        <f>SUMIF(本期抵消分录!C:C,B88,本期抵消分录!F:F)</f>
        <v>0</v>
      </c>
      <c r="J88" s="6">
        <f t="shared" si="49"/>
        <v>24031602.629999999</v>
      </c>
    </row>
    <row r="89" spans="1:10">
      <c r="A89" s="5" t="s">
        <v>689</v>
      </c>
      <c r="B89" s="53" t="s">
        <v>218</v>
      </c>
      <c r="C89" s="6">
        <v>19554299.140000001</v>
      </c>
      <c r="D89" s="6">
        <v>14832260.310000001</v>
      </c>
      <c r="F89" s="6">
        <v>487780.49</v>
      </c>
      <c r="G89" s="6">
        <f t="shared" si="48"/>
        <v>34874339.939999998</v>
      </c>
      <c r="H89" s="6">
        <f>SUMIF(本期抵消分录!C:C,B89,本期抵消分录!E:E)</f>
        <v>0</v>
      </c>
      <c r="I89" s="6">
        <f>SUMIF(本期抵消分录!C:C,B89,本期抵消分录!F:F)</f>
        <v>100000</v>
      </c>
      <c r="J89" s="6">
        <f t="shared" si="49"/>
        <v>34774339.939999998</v>
      </c>
    </row>
    <row r="90" spans="1:10">
      <c r="A90" s="5" t="s">
        <v>690</v>
      </c>
      <c r="B90" s="53" t="s">
        <v>219</v>
      </c>
      <c r="C90" s="6">
        <v>-3814804.48</v>
      </c>
      <c r="D90" s="6">
        <v>-7316306.5700000003</v>
      </c>
      <c r="F90" s="6">
        <v>31237.84</v>
      </c>
      <c r="G90" s="6">
        <f t="shared" si="48"/>
        <v>-11099873.210000001</v>
      </c>
      <c r="H90" s="6">
        <f>SUMIF(本期抵消分录!C:C,B90,本期抵消分录!E:E)</f>
        <v>0</v>
      </c>
      <c r="I90" s="6">
        <f>SUMIF(本期抵消分录!C:C,B90,本期抵消分录!F:F)</f>
        <v>35000</v>
      </c>
      <c r="J90" s="6">
        <f t="shared" si="49"/>
        <v>-11134873.210000001</v>
      </c>
    </row>
    <row r="91" spans="1:10">
      <c r="A91" s="5" t="s">
        <v>691</v>
      </c>
      <c r="B91" s="53" t="s">
        <v>220</v>
      </c>
      <c r="C91" s="6">
        <v>0</v>
      </c>
      <c r="D91" s="6">
        <v>0</v>
      </c>
      <c r="F91" s="6">
        <v>0</v>
      </c>
      <c r="G91" s="6">
        <f t="shared" si="48"/>
        <v>0</v>
      </c>
      <c r="H91" s="6">
        <f>SUMIF(本期抵消分录!C:C,B91,本期抵消分录!E:E)</f>
        <v>0</v>
      </c>
      <c r="I91" s="6">
        <f>I90</f>
        <v>35000</v>
      </c>
      <c r="J91" s="6">
        <f t="shared" si="49"/>
        <v>-35000</v>
      </c>
    </row>
    <row r="92" spans="1:10">
      <c r="A92" s="5" t="s">
        <v>692</v>
      </c>
      <c r="B92" s="53" t="s">
        <v>221</v>
      </c>
      <c r="C92" s="6">
        <v>1415002</v>
      </c>
      <c r="D92" s="6">
        <v>7359899.9400000004</v>
      </c>
      <c r="F92" s="6">
        <v>2213.0100000000002</v>
      </c>
      <c r="G92" s="6">
        <f t="shared" si="48"/>
        <v>8777114.9499999993</v>
      </c>
      <c r="H92" s="6">
        <f>H90</f>
        <v>0</v>
      </c>
      <c r="I92" s="6">
        <f>SUMIF(本期抵消分录!C:C,B92,本期抵消分录!F:F)</f>
        <v>0</v>
      </c>
      <c r="J92" s="6">
        <f>G92-H92+I92</f>
        <v>8777114.9499999993</v>
      </c>
    </row>
    <row r="93" spans="1:10">
      <c r="A93" s="5" t="s">
        <v>693</v>
      </c>
      <c r="B93" s="53" t="s">
        <v>222</v>
      </c>
      <c r="C93" s="6">
        <v>-3215091.69</v>
      </c>
      <c r="D93" s="6">
        <v>-1175100.5900000001</v>
      </c>
      <c r="F93" s="6">
        <v>33277.589999999997</v>
      </c>
      <c r="G93" s="6">
        <f t="shared" si="48"/>
        <v>-4356914.6900000004</v>
      </c>
      <c r="H93" s="6">
        <f>SUMIF(本期抵消分录!C:C,B93,本期抵消分录!E:E)</f>
        <v>0</v>
      </c>
      <c r="I93" s="6">
        <f>SUMIF(本期抵消分录!C:C,B93,本期抵消分录!F:F)</f>
        <v>0</v>
      </c>
      <c r="J93" s="6">
        <f t="shared" si="49"/>
        <v>-4356914.6900000004</v>
      </c>
    </row>
    <row r="94" spans="1:10">
      <c r="A94" s="5" t="s">
        <v>694</v>
      </c>
      <c r="B94" s="53" t="s">
        <v>223</v>
      </c>
      <c r="C94" s="6">
        <v>1570484.75</v>
      </c>
      <c r="D94" s="6">
        <v>573364.06000000006</v>
      </c>
      <c r="F94" s="6">
        <v>0</v>
      </c>
      <c r="G94" s="6">
        <f t="shared" si="48"/>
        <v>2143848.81</v>
      </c>
      <c r="H94" s="6">
        <f>SUMIF(本期抵消分录!C:C,B94,本期抵消分录!E:E)</f>
        <v>0</v>
      </c>
      <c r="I94" s="6">
        <f>SUMIF(本期抵消分录!C:C,B94,本期抵消分录!F:F)</f>
        <v>0</v>
      </c>
      <c r="J94" s="6">
        <f t="shared" si="49"/>
        <v>2143848.81</v>
      </c>
    </row>
    <row r="95" spans="1:10">
      <c r="A95" s="5" t="s">
        <v>695</v>
      </c>
      <c r="B95" s="53" t="s">
        <v>224</v>
      </c>
      <c r="C95" s="6">
        <v>1038891.73</v>
      </c>
      <c r="D95" s="6">
        <v>0</v>
      </c>
      <c r="F95" s="6">
        <v>0</v>
      </c>
      <c r="G95" s="6">
        <f t="shared" si="48"/>
        <v>1038891.73</v>
      </c>
      <c r="H95" s="6">
        <f>SUMIF(本期抵消分录!C:C,B95,本期抵消分录!E:E)</f>
        <v>0</v>
      </c>
      <c r="I95" s="6">
        <f>SUMIF(本期抵消分录!C:C,B95,本期抵消分录!F:F)</f>
        <v>0</v>
      </c>
      <c r="J95" s="6">
        <f>G95-H95+I95</f>
        <v>1038891.73</v>
      </c>
    </row>
    <row r="96" spans="1:10">
      <c r="A96" s="5" t="s">
        <v>696</v>
      </c>
      <c r="B96" s="53" t="s">
        <v>225</v>
      </c>
      <c r="C96" s="6">
        <v>60555256.75</v>
      </c>
      <c r="D96" s="6">
        <v>0</v>
      </c>
      <c r="F96" s="6">
        <v>0</v>
      </c>
      <c r="G96" s="6">
        <f t="shared" si="48"/>
        <v>60555256.75</v>
      </c>
      <c r="H96" s="6">
        <f>SUMIF(本期抵消分录!C:C,B96,本期抵消分录!E:E)</f>
        <v>5456000</v>
      </c>
      <c r="I96" s="6">
        <f>SUMIF(本期抵消分录!C:C,B96,本期抵消分录!F:F)</f>
        <v>0</v>
      </c>
      <c r="J96" s="6">
        <f>G96-H96+I96</f>
        <v>55099256.75</v>
      </c>
    </row>
    <row r="97" spans="1:10">
      <c r="A97" s="5" t="s">
        <v>697</v>
      </c>
      <c r="B97" s="53" t="s">
        <v>226</v>
      </c>
      <c r="C97" s="6">
        <v>0</v>
      </c>
      <c r="D97" s="6">
        <v>0</v>
      </c>
      <c r="F97" s="6">
        <v>0</v>
      </c>
      <c r="G97" s="6">
        <f t="shared" si="48"/>
        <v>0</v>
      </c>
      <c r="H97" s="6">
        <f>SUMIF(本期抵消分录!C:C,B97,本期抵消分录!E:E)</f>
        <v>0</v>
      </c>
      <c r="I97" s="6">
        <f>SUMIF(本期抵消分录!C:C,B97,本期抵消分录!F:F)</f>
        <v>0</v>
      </c>
      <c r="J97" s="6">
        <f>G97-H97+I97</f>
        <v>0</v>
      </c>
    </row>
    <row r="98" spans="1:10" s="26" customFormat="1">
      <c r="A98" s="32" t="s">
        <v>698</v>
      </c>
      <c r="B98" s="36"/>
      <c r="C98" s="26">
        <f t="shared" ref="C98:D98" si="50">C80-C83+C95+C96</f>
        <v>60958859.920000002</v>
      </c>
      <c r="D98" s="26">
        <f t="shared" si="50"/>
        <v>13539163.23</v>
      </c>
      <c r="F98" s="26">
        <f t="shared" ref="F98" si="51">F80-F83+F95+F96</f>
        <v>382070.87</v>
      </c>
      <c r="G98" s="26">
        <f>G80-G83+G95+G96</f>
        <v>74880094.019999996</v>
      </c>
      <c r="H98" s="26">
        <f>H80+H83+H95+H96</f>
        <v>5591000</v>
      </c>
      <c r="I98" s="26">
        <f>I80+I83+I95+I96</f>
        <v>135000</v>
      </c>
      <c r="J98" s="26">
        <f>J80-J83+J95+J96</f>
        <v>69424094.019999996</v>
      </c>
    </row>
    <row r="99" spans="1:10">
      <c r="A99" s="5" t="s">
        <v>699</v>
      </c>
      <c r="B99" s="53" t="s">
        <v>227</v>
      </c>
      <c r="C99" s="6">
        <v>957812.42</v>
      </c>
      <c r="D99" s="6">
        <v>33230.949999999997</v>
      </c>
      <c r="F99" s="6">
        <v>0</v>
      </c>
      <c r="G99" s="6">
        <f t="shared" ref="G99:G107" si="52">SUM(C99:F99)</f>
        <v>991043.37</v>
      </c>
      <c r="H99" s="6">
        <f>SUMIF(本期抵消分录!C:C,B99,本期抵消分录!E:E)</f>
        <v>0</v>
      </c>
      <c r="I99" s="6">
        <f>SUMIF(本期抵消分录!C:C,B99,本期抵消分录!F:F)</f>
        <v>0</v>
      </c>
      <c r="J99" s="6">
        <f>G99-H99+I99</f>
        <v>991043.37</v>
      </c>
    </row>
    <row r="100" spans="1:10">
      <c r="A100" s="5" t="s">
        <v>700</v>
      </c>
      <c r="B100" s="53" t="s">
        <v>228</v>
      </c>
      <c r="C100" s="6">
        <v>0</v>
      </c>
      <c r="D100" s="6">
        <v>18753.72</v>
      </c>
      <c r="F100" s="6">
        <v>0</v>
      </c>
      <c r="G100" s="6">
        <f t="shared" si="52"/>
        <v>18753.72</v>
      </c>
      <c r="H100" s="6">
        <f>SUMIF(本期抵消分录!C:C,B100,本期抵消分录!E:E)</f>
        <v>0</v>
      </c>
      <c r="I100" s="6">
        <f>SUMIF(本期抵消分录!C:C,B100,本期抵消分录!F:F)</f>
        <v>0</v>
      </c>
      <c r="J100" s="6">
        <f>G100-H100+I100</f>
        <v>18753.72</v>
      </c>
    </row>
    <row r="101" spans="1:10">
      <c r="A101" s="5" t="s">
        <v>701</v>
      </c>
      <c r="B101" s="53" t="s">
        <v>229</v>
      </c>
      <c r="C101" s="6">
        <v>0</v>
      </c>
      <c r="D101" s="6">
        <v>0</v>
      </c>
      <c r="F101" s="6">
        <v>0</v>
      </c>
      <c r="G101" s="6">
        <f t="shared" si="52"/>
        <v>0</v>
      </c>
      <c r="H101" s="6">
        <f>SUMIF(本期抵消分录!C:C,B101,本期抵消分录!E:E)</f>
        <v>0</v>
      </c>
      <c r="I101" s="6">
        <f>SUMIF(本期抵消分录!C:C,B101,本期抵消分录!F:F)</f>
        <v>0</v>
      </c>
      <c r="J101" s="6">
        <f>G101-H101+I101</f>
        <v>0</v>
      </c>
    </row>
    <row r="102" spans="1:10">
      <c r="A102" s="5" t="s">
        <v>702</v>
      </c>
      <c r="B102" s="53" t="s">
        <v>230</v>
      </c>
      <c r="C102" s="6">
        <v>0</v>
      </c>
      <c r="D102" s="6">
        <v>14477.23</v>
      </c>
      <c r="F102" s="6">
        <v>0</v>
      </c>
      <c r="G102" s="6">
        <f t="shared" si="52"/>
        <v>14477.23</v>
      </c>
      <c r="H102" s="6">
        <f>SUMIF(本期抵消分录!C:C,B102,本期抵消分录!E:E)</f>
        <v>0</v>
      </c>
      <c r="I102" s="6">
        <f>SUMIF(本期抵消分录!C:C,B102,本期抵消分录!F:F)</f>
        <v>0</v>
      </c>
      <c r="J102" s="6">
        <f>G102-H102+I102</f>
        <v>14477.23</v>
      </c>
    </row>
    <row r="103" spans="1:10">
      <c r="A103" s="5" t="s">
        <v>790</v>
      </c>
      <c r="B103" s="53" t="s">
        <v>231</v>
      </c>
      <c r="C103" s="6">
        <v>0</v>
      </c>
      <c r="D103" s="6">
        <v>0</v>
      </c>
      <c r="F103" s="6">
        <v>0</v>
      </c>
      <c r="G103" s="6">
        <f t="shared" si="52"/>
        <v>0</v>
      </c>
      <c r="H103" s="6">
        <f>SUMIF(本期抵消分录!C:C,B103,本期抵消分录!E:E)</f>
        <v>0</v>
      </c>
      <c r="I103" s="6">
        <f>SUMIF(本期抵消分录!C:C,B103,本期抵消分录!F:F)</f>
        <v>0</v>
      </c>
      <c r="J103" s="6">
        <f>G103-H103+I103</f>
        <v>0</v>
      </c>
    </row>
    <row r="104" spans="1:10">
      <c r="A104" s="5" t="s">
        <v>703</v>
      </c>
      <c r="B104" s="53" t="s">
        <v>232</v>
      </c>
      <c r="C104" s="6">
        <v>55282.02</v>
      </c>
      <c r="D104" s="6">
        <v>283329</v>
      </c>
      <c r="F104" s="6">
        <v>0</v>
      </c>
      <c r="G104" s="6">
        <f t="shared" si="52"/>
        <v>338611.02</v>
      </c>
      <c r="H104" s="6">
        <f>SUMIF(本期抵消分录!C:C,B104,本期抵消分录!E:E)</f>
        <v>0</v>
      </c>
      <c r="I104" s="6">
        <f>SUMIF(本期抵消分录!C:C,B104,本期抵消分录!F:F)</f>
        <v>0</v>
      </c>
      <c r="J104" s="6">
        <f>G104+H104-I104</f>
        <v>338611.02</v>
      </c>
    </row>
    <row r="105" spans="1:10">
      <c r="A105" s="5" t="s">
        <v>704</v>
      </c>
      <c r="B105" s="53" t="s">
        <v>233</v>
      </c>
      <c r="C105" s="6">
        <v>33624</v>
      </c>
      <c r="D105" s="6">
        <v>0</v>
      </c>
      <c r="F105" s="6">
        <v>0</v>
      </c>
      <c r="G105" s="6">
        <f t="shared" si="52"/>
        <v>33624</v>
      </c>
      <c r="H105" s="6">
        <f>SUMIF(本期抵消分录!C:C,B105,本期抵消分录!E:E)</f>
        <v>0</v>
      </c>
      <c r="I105" s="6">
        <f>SUMIF(本期抵消分录!C:C,B105,本期抵消分录!F:F)</f>
        <v>0</v>
      </c>
      <c r="J105" s="6">
        <f>G105+H105-I105</f>
        <v>33624</v>
      </c>
    </row>
    <row r="106" spans="1:10">
      <c r="A106" s="5" t="s">
        <v>793</v>
      </c>
      <c r="B106" s="53" t="s">
        <v>234</v>
      </c>
      <c r="C106" s="6">
        <v>0</v>
      </c>
      <c r="D106" s="6">
        <v>281329</v>
      </c>
      <c r="F106" s="6">
        <v>0</v>
      </c>
      <c r="G106" s="6">
        <f t="shared" si="52"/>
        <v>281329</v>
      </c>
      <c r="H106" s="6">
        <f>SUMIF(本期抵消分录!C:C,B106,本期抵消分录!E:E)</f>
        <v>0</v>
      </c>
      <c r="I106" s="6">
        <f>SUMIF(本期抵消分录!C:C,B106,本期抵消分录!F:F)</f>
        <v>0</v>
      </c>
      <c r="J106" s="6">
        <f>G106+H106-I106</f>
        <v>281329</v>
      </c>
    </row>
    <row r="107" spans="1:10">
      <c r="A107" s="5" t="s">
        <v>790</v>
      </c>
      <c r="B107" s="53" t="s">
        <v>235</v>
      </c>
      <c r="C107" s="6">
        <v>0</v>
      </c>
      <c r="D107" s="6">
        <v>2000</v>
      </c>
      <c r="F107" s="6">
        <v>0</v>
      </c>
      <c r="G107" s="6">
        <f t="shared" si="52"/>
        <v>2000</v>
      </c>
      <c r="H107" s="6">
        <f>SUMIF(本期抵消分录!C:C,B107,本期抵消分录!E:E)</f>
        <v>0</v>
      </c>
      <c r="I107" s="6">
        <f>SUMIF(本期抵消分录!C:C,B107,本期抵消分录!F:F)</f>
        <v>0</v>
      </c>
      <c r="J107" s="6">
        <f>G107+H107-I107</f>
        <v>2000</v>
      </c>
    </row>
    <row r="108" spans="1:10" s="26" customFormat="1">
      <c r="A108" s="32" t="s">
        <v>705</v>
      </c>
      <c r="B108" s="36"/>
      <c r="C108" s="26">
        <f t="shared" ref="C108" si="53">C98+C99-C104</f>
        <v>61861390.32</v>
      </c>
      <c r="D108" s="26">
        <f t="shared" ref="D108" si="54">D98+D99-D104</f>
        <v>13289065.18</v>
      </c>
      <c r="F108" s="26">
        <f t="shared" ref="F108" si="55">F98+F99-F104</f>
        <v>382070.87</v>
      </c>
      <c r="G108" s="26">
        <f>G98+G99-G104</f>
        <v>75532526.370000005</v>
      </c>
      <c r="H108" s="26">
        <f>H98+H99-H104</f>
        <v>5591000</v>
      </c>
      <c r="I108" s="26">
        <f>I98+I99-I104</f>
        <v>135000</v>
      </c>
      <c r="J108" s="26">
        <f>J98+J99-J104</f>
        <v>70076526.370000005</v>
      </c>
    </row>
    <row r="109" spans="1:10">
      <c r="A109" s="5" t="s">
        <v>706</v>
      </c>
      <c r="B109" s="53" t="s">
        <v>236</v>
      </c>
      <c r="C109" s="6">
        <v>4652273.05</v>
      </c>
      <c r="D109" s="6">
        <v>3782742.82</v>
      </c>
      <c r="F109" s="6">
        <v>54753.63</v>
      </c>
      <c r="G109" s="6">
        <f>SUM(C109:F109)</f>
        <v>8489769.5</v>
      </c>
      <c r="H109" s="6">
        <f>SUMIF(本期抵消分录!C:C,B109,本期抵消分录!E:E)</f>
        <v>0</v>
      </c>
      <c r="I109" s="6">
        <f>SUMIF(本期抵消分录!C:C,B109,本期抵消分录!F:F)</f>
        <v>0</v>
      </c>
      <c r="J109" s="6">
        <f>G109</f>
        <v>8489769.5</v>
      </c>
    </row>
    <row r="110" spans="1:10" s="25" customFormat="1">
      <c r="A110" s="33" t="s">
        <v>707</v>
      </c>
      <c r="B110" s="38"/>
      <c r="C110" s="25">
        <f t="shared" ref="C110:D110" si="56">C108-C109</f>
        <v>57209117.270000003</v>
      </c>
      <c r="D110" s="25">
        <f t="shared" si="56"/>
        <v>9506322.3599999994</v>
      </c>
      <c r="F110" s="25">
        <f t="shared" ref="F110" si="57">F108-F109</f>
        <v>327317.24</v>
      </c>
      <c r="G110" s="25">
        <f>G108-G109</f>
        <v>67042756.869999997</v>
      </c>
      <c r="H110" s="25">
        <f>H108-H109</f>
        <v>5591000</v>
      </c>
      <c r="I110" s="25">
        <f>I108-I109</f>
        <v>135000</v>
      </c>
      <c r="J110" s="25">
        <f>J108-J109</f>
        <v>61586756.869999997</v>
      </c>
    </row>
    <row r="111" spans="1:10">
      <c r="A111" s="5" t="s">
        <v>708</v>
      </c>
      <c r="B111" s="53" t="s">
        <v>237</v>
      </c>
      <c r="F111" s="6">
        <v>0</v>
      </c>
      <c r="G111" s="6">
        <f>SUM(C111:F111)</f>
        <v>0</v>
      </c>
      <c r="H111" s="6">
        <f>SUMIF(本期抵消分录!C:C,B111,本期抵消分录!E:E)</f>
        <v>3612402.5</v>
      </c>
      <c r="I111" s="6">
        <f>SUMIF(本期抵消分录!C:C,B111,本期抵消分录!F:F)</f>
        <v>0</v>
      </c>
      <c r="J111" s="6">
        <f>G111+H111-I111</f>
        <v>3612402.5</v>
      </c>
    </row>
    <row r="112" spans="1:10" s="25" customFormat="1">
      <c r="A112" s="33" t="s">
        <v>784</v>
      </c>
      <c r="B112" s="38"/>
      <c r="C112" s="25">
        <f t="shared" ref="C112:D112" si="58">C110-C111</f>
        <v>57209117.270000003</v>
      </c>
      <c r="D112" s="25">
        <f t="shared" si="58"/>
        <v>9506322.3599999994</v>
      </c>
      <c r="F112" s="25">
        <f t="shared" ref="F112" si="59">F110-F111</f>
        <v>327317.24</v>
      </c>
      <c r="G112" s="25">
        <f>G110-G111</f>
        <v>67042756.869999997</v>
      </c>
      <c r="J112" s="25">
        <f>J110-J111</f>
        <v>57974354.369999997</v>
      </c>
    </row>
    <row r="113" spans="1:10" s="218" customFormat="1">
      <c r="A113" s="219" t="s">
        <v>785</v>
      </c>
      <c r="B113" s="217"/>
      <c r="C113" s="218">
        <f t="shared" ref="C113:D113" si="60">C114+C120</f>
        <v>0</v>
      </c>
      <c r="D113" s="218">
        <f t="shared" si="60"/>
        <v>0</v>
      </c>
      <c r="E113" s="218">
        <f t="shared" ref="E113:F113" si="61">E114+E120</f>
        <v>0</v>
      </c>
      <c r="F113" s="218">
        <f t="shared" si="61"/>
        <v>24400.080000000002</v>
      </c>
      <c r="G113" s="218">
        <f>G114+G120</f>
        <v>24400.080000000002</v>
      </c>
      <c r="J113" s="218">
        <f>J114+J120</f>
        <v>24400.080000000002</v>
      </c>
    </row>
    <row r="114" spans="1:10" s="60" customFormat="1" ht="24">
      <c r="A114" s="211" t="s">
        <v>758</v>
      </c>
      <c r="B114" s="53" t="s">
        <v>786</v>
      </c>
      <c r="C114" s="60">
        <v>0</v>
      </c>
      <c r="D114" s="60">
        <v>0</v>
      </c>
      <c r="E114" s="60">
        <v>0</v>
      </c>
      <c r="F114" s="60">
        <v>24400.080000000002</v>
      </c>
      <c r="G114" s="60">
        <f t="shared" ref="G114" si="62">G115+G118</f>
        <v>24400.080000000002</v>
      </c>
      <c r="J114" s="6">
        <f t="shared" ref="J114:J120" si="63">G114-H114+I114</f>
        <v>24400.080000000002</v>
      </c>
    </row>
    <row r="115" spans="1:10" s="60" customFormat="1" ht="24">
      <c r="A115" s="211" t="s">
        <v>759</v>
      </c>
      <c r="B115" s="53" t="s">
        <v>769</v>
      </c>
      <c r="C115" s="60">
        <v>0</v>
      </c>
      <c r="D115" s="60">
        <v>0</v>
      </c>
      <c r="E115" s="60">
        <v>0</v>
      </c>
      <c r="F115" s="60">
        <v>0</v>
      </c>
      <c r="G115" s="60">
        <f t="shared" ref="G115" si="64">SUM(G116:G117)</f>
        <v>0</v>
      </c>
      <c r="J115" s="6">
        <f t="shared" si="63"/>
        <v>0</v>
      </c>
    </row>
    <row r="116" spans="1:10" s="60" customFormat="1" ht="24">
      <c r="A116" s="211" t="s">
        <v>760</v>
      </c>
      <c r="B116" s="53" t="s">
        <v>770</v>
      </c>
      <c r="C116" s="60">
        <v>0</v>
      </c>
      <c r="D116" s="60">
        <v>0</v>
      </c>
      <c r="F116" s="60">
        <v>0</v>
      </c>
      <c r="G116" s="6">
        <f>SUM(C116:F116)</f>
        <v>0</v>
      </c>
      <c r="J116" s="6">
        <f t="shared" si="63"/>
        <v>0</v>
      </c>
    </row>
    <row r="117" spans="1:10" s="60" customFormat="1" ht="24">
      <c r="A117" s="211" t="s">
        <v>761</v>
      </c>
      <c r="B117" s="53" t="s">
        <v>771</v>
      </c>
      <c r="C117" s="60">
        <v>0</v>
      </c>
      <c r="D117" s="60">
        <v>0</v>
      </c>
      <c r="F117" s="60">
        <v>0</v>
      </c>
      <c r="G117" s="6">
        <f>SUM(C117:F117)</f>
        <v>0</v>
      </c>
      <c r="J117" s="6">
        <f t="shared" si="63"/>
        <v>0</v>
      </c>
    </row>
    <row r="118" spans="1:10" s="60" customFormat="1" ht="24">
      <c r="A118" s="211" t="s">
        <v>762</v>
      </c>
      <c r="B118" s="53" t="s">
        <v>772</v>
      </c>
      <c r="C118" s="60">
        <v>0</v>
      </c>
      <c r="D118" s="60">
        <v>0</v>
      </c>
      <c r="E118" s="60">
        <v>0</v>
      </c>
      <c r="F118" s="60">
        <v>24400.080000000002</v>
      </c>
      <c r="G118" s="60">
        <f>SUM(G119:G119)</f>
        <v>24400.080000000002</v>
      </c>
      <c r="J118" s="6">
        <f t="shared" si="63"/>
        <v>24400.080000000002</v>
      </c>
    </row>
    <row r="119" spans="1:10" s="60" customFormat="1">
      <c r="A119" s="211" t="s">
        <v>767</v>
      </c>
      <c r="B119" s="53" t="s">
        <v>777</v>
      </c>
      <c r="C119" s="60">
        <v>0</v>
      </c>
      <c r="D119" s="60">
        <v>0</v>
      </c>
      <c r="F119" s="60">
        <v>24400.080000000002</v>
      </c>
      <c r="G119" s="6">
        <f>SUM(C119:F119)</f>
        <v>24400.080000000002</v>
      </c>
      <c r="J119" s="6">
        <f t="shared" si="63"/>
        <v>24400.080000000002</v>
      </c>
    </row>
    <row r="120" spans="1:10" s="60" customFormat="1" ht="24">
      <c r="A120" s="211" t="s">
        <v>768</v>
      </c>
      <c r="B120" s="53" t="s">
        <v>778</v>
      </c>
      <c r="C120" s="60">
        <v>0</v>
      </c>
      <c r="D120" s="60">
        <v>0</v>
      </c>
      <c r="F120" s="60">
        <v>0</v>
      </c>
      <c r="G120" s="6">
        <f>SUM(C120:F120)</f>
        <v>0</v>
      </c>
      <c r="J120" s="6">
        <f t="shared" si="63"/>
        <v>0</v>
      </c>
    </row>
    <row r="121" spans="1:10" s="218" customFormat="1">
      <c r="A121" s="216" t="s">
        <v>787</v>
      </c>
      <c r="B121" s="217"/>
      <c r="C121" s="218">
        <f t="shared" ref="C121:D121" si="65">C110+C113</f>
        <v>57209117.270000003</v>
      </c>
      <c r="D121" s="218">
        <f t="shared" si="65"/>
        <v>9506322.3599999994</v>
      </c>
      <c r="E121" s="218">
        <f t="shared" ref="E121:G121" si="66">E110+E113</f>
        <v>0</v>
      </c>
      <c r="F121" s="218">
        <f t="shared" ref="F121" si="67">F110+F113</f>
        <v>351717.32</v>
      </c>
      <c r="G121" s="218">
        <f t="shared" si="66"/>
        <v>67067156.950000003</v>
      </c>
      <c r="J121" s="218">
        <f t="shared" ref="J121" si="68">J110+J113</f>
        <v>61611156.950000003</v>
      </c>
    </row>
    <row r="122" spans="1:10" s="60" customFormat="1" ht="24">
      <c r="A122" s="211" t="s">
        <v>794</v>
      </c>
      <c r="B122" s="53"/>
      <c r="C122" s="60">
        <v>57209117.270000003</v>
      </c>
      <c r="D122" s="60">
        <v>9506322.3599999994</v>
      </c>
      <c r="F122" s="60">
        <v>351717.32</v>
      </c>
    </row>
    <row r="123" spans="1:10" s="60" customFormat="1">
      <c r="A123" s="211" t="s">
        <v>788</v>
      </c>
      <c r="B123" s="53"/>
      <c r="C123" s="60">
        <v>0</v>
      </c>
      <c r="D123" s="60">
        <v>0</v>
      </c>
      <c r="F123" s="60">
        <v>0</v>
      </c>
    </row>
    <row r="124" spans="1:10">
      <c r="A124" s="16" t="s">
        <v>710</v>
      </c>
      <c r="B124" s="53" t="s">
        <v>238</v>
      </c>
      <c r="C124" s="6">
        <v>54570014.82</v>
      </c>
      <c r="D124" s="6">
        <v>12155661.060000001</v>
      </c>
      <c r="F124" s="6">
        <v>6714744.5</v>
      </c>
      <c r="G124" s="6">
        <f t="shared" ref="G124:G130" si="69">SUM(C124:F124)</f>
        <v>73440420.379999995</v>
      </c>
      <c r="H124" s="6">
        <f>SUMIF(本期抵消分录!C:C,B124,本期抵消分录!E:E)</f>
        <v>-3209723.8</v>
      </c>
      <c r="I124" s="6">
        <f>SUMIF(本期抵消分录!C:C,B124,本期抵消分录!F:F)</f>
        <v>0</v>
      </c>
      <c r="J124" s="6">
        <f>G124-H124+I124</f>
        <v>76650144.180000007</v>
      </c>
    </row>
    <row r="125" spans="1:10">
      <c r="A125" s="16" t="s">
        <v>711</v>
      </c>
      <c r="B125" s="53" t="s">
        <v>239</v>
      </c>
      <c r="G125" s="6">
        <f t="shared" si="69"/>
        <v>0</v>
      </c>
      <c r="H125" s="6">
        <f>SUMIF(本期抵消分录!C:C,B125,本期抵消分录!E:E)</f>
        <v>0</v>
      </c>
      <c r="I125" s="6">
        <f>SUMIF(本期抵消分录!C:C,B125,本期抵消分录!F:F)</f>
        <v>0</v>
      </c>
      <c r="J125" s="6">
        <f>G125-H125+I125</f>
        <v>0</v>
      </c>
    </row>
    <row r="126" spans="1:10">
      <c r="A126" s="16" t="s">
        <v>712</v>
      </c>
      <c r="B126" s="53" t="s">
        <v>240</v>
      </c>
      <c r="C126" s="6">
        <v>5720911.7300000004</v>
      </c>
      <c r="D126" s="6">
        <v>0</v>
      </c>
      <c r="F126" s="6">
        <v>0</v>
      </c>
      <c r="G126" s="6">
        <f t="shared" si="69"/>
        <v>5720911.7300000004</v>
      </c>
      <c r="H126" s="6">
        <f>SUMIF(本期抵消分录!C:C,B126,本期抵消分录!E:E)</f>
        <v>0</v>
      </c>
      <c r="I126" s="6">
        <f>SUMIF(本期抵消分录!C:C,B126,本期抵消分录!F:F)</f>
        <v>524826.98</v>
      </c>
      <c r="J126" s="6">
        <f>G126+H126-I126</f>
        <v>5196084.75</v>
      </c>
    </row>
    <row r="127" spans="1:10">
      <c r="A127" s="16" t="s">
        <v>713</v>
      </c>
      <c r="B127" s="53" t="s">
        <v>245</v>
      </c>
      <c r="G127" s="6">
        <f t="shared" si="69"/>
        <v>0</v>
      </c>
      <c r="H127" s="6">
        <f>SUMIF(本期抵消分录!C:C,B127,本期抵消分录!E:E)</f>
        <v>0</v>
      </c>
      <c r="I127" s="6">
        <f>SUMIF(本期抵消分录!C:C,B127,本期抵消分录!F:F)</f>
        <v>0</v>
      </c>
      <c r="J127" s="6">
        <f>G127+H127-I127</f>
        <v>0</v>
      </c>
    </row>
    <row r="128" spans="1:10">
      <c r="A128" s="16" t="s">
        <v>714</v>
      </c>
      <c r="B128" s="53" t="s">
        <v>246</v>
      </c>
      <c r="C128" s="6">
        <v>0</v>
      </c>
      <c r="D128" s="6">
        <v>524826.98</v>
      </c>
      <c r="F128" s="6">
        <v>0</v>
      </c>
      <c r="G128" s="6">
        <f t="shared" si="69"/>
        <v>524826.98</v>
      </c>
      <c r="H128" s="6">
        <f>SUMIF(本期抵消分录!C:C,B128,本期抵消分录!E:E)</f>
        <v>0</v>
      </c>
      <c r="I128" s="6">
        <f>SUMIF(本期抵消分录!C:C,B128,本期抵消分录!F:F)</f>
        <v>0</v>
      </c>
      <c r="J128" s="6">
        <f>G128+H128-I128</f>
        <v>524826.98</v>
      </c>
    </row>
    <row r="129" spans="1:10">
      <c r="A129" s="16" t="s">
        <v>715</v>
      </c>
      <c r="B129" s="53" t="s">
        <v>247</v>
      </c>
      <c r="C129" s="6">
        <v>26033100</v>
      </c>
      <c r="D129" s="6">
        <v>8800000</v>
      </c>
      <c r="F129" s="6">
        <v>0</v>
      </c>
      <c r="G129" s="6">
        <f t="shared" si="69"/>
        <v>34833100</v>
      </c>
      <c r="H129" s="6">
        <f>SUMIF(本期抵消分录!C:C,B129,本期抵消分录!E:E)</f>
        <v>0</v>
      </c>
      <c r="I129" s="6">
        <f>SUMIF(本期抵消分录!C:C,B129,本期抵消分录!F:F)</f>
        <v>8800000</v>
      </c>
      <c r="J129" s="6">
        <f>G129+H129-I129</f>
        <v>26033100</v>
      </c>
    </row>
    <row r="130" spans="1:10">
      <c r="A130" s="16" t="s">
        <v>716</v>
      </c>
      <c r="B130" s="53" t="s">
        <v>248</v>
      </c>
      <c r="G130" s="6">
        <f t="shared" si="69"/>
        <v>0</v>
      </c>
      <c r="H130" s="6">
        <f>SUMIF(本期抵消分录!C:C,B130,本期抵消分录!E:E)</f>
        <v>0</v>
      </c>
      <c r="I130" s="6">
        <f>SUMIF(本期抵消分录!C:C,B130,本期抵消分录!F:F)</f>
        <v>0</v>
      </c>
      <c r="J130" s="6">
        <f>G130+H130-I130</f>
        <v>0</v>
      </c>
    </row>
    <row r="131" spans="1:10" s="25" customFormat="1">
      <c r="A131" s="215" t="s">
        <v>717</v>
      </c>
      <c r="B131" s="38"/>
      <c r="C131" s="25">
        <f t="shared" ref="C131:D131" si="70">C112+C124+C125-SUM(C126:C130)</f>
        <v>80025120.359999999</v>
      </c>
      <c r="D131" s="25">
        <f t="shared" si="70"/>
        <v>12337156.439999999</v>
      </c>
      <c r="F131" s="25">
        <f t="shared" ref="F131" si="71">F112+F124+F125-SUM(F126:F130)</f>
        <v>7042061.7400000002</v>
      </c>
      <c r="G131" s="25">
        <f>G112+G124+G125-SUM(G126:G130)</f>
        <v>99404338.540000007</v>
      </c>
      <c r="H131" s="25">
        <f>SUM(H110:H130)</f>
        <v>5993678.7000000002</v>
      </c>
      <c r="I131" s="25">
        <f>SUM(I110:I130)</f>
        <v>9459826.9800000004</v>
      </c>
      <c r="J131" s="25">
        <f>J112+J124+J125-SUM(J126:J130)</f>
        <v>102870486.81999999</v>
      </c>
    </row>
    <row r="132" spans="1:10" s="20" customFormat="1">
      <c r="A132" s="19"/>
      <c r="B132" s="213"/>
      <c r="C132" s="20" t="str">
        <f t="shared" ref="C132:D132" si="72">IF(ABS(INT((C72-C131)*100+0.5))&lt;&gt;0,"损益及利润分配有误"," ")</f>
        <v/>
      </c>
      <c r="D132" s="20" t="str">
        <f t="shared" si="72"/>
        <v/>
      </c>
      <c r="F132" s="20" t="str">
        <f>IF(ABS(INT((F72-F131)*100+0.5))&lt;&gt;0,"损益及利润分配有误"," ")</f>
        <v/>
      </c>
      <c r="G132" s="20" t="str">
        <f>IF(ABS(INT((G72-G131)*100+0.5))&lt;&gt;0,"损益及利润分配有误"," ")</f>
        <v/>
      </c>
      <c r="J132" s="20" t="str">
        <f>IF(ABS(INT((J72-J131)*100+0.5))&lt;&gt;0,"损益及利润分配有误"," ")</f>
        <v xml:space="preserve"> </v>
      </c>
    </row>
    <row r="133" spans="1:10">
      <c r="A133" s="11" t="s">
        <v>533</v>
      </c>
      <c r="D133" s="6">
        <v>14167493.949999999</v>
      </c>
      <c r="G133" s="60">
        <f t="shared" ref="G133:G141" si="73">SUM(C133:F133)</f>
        <v>14167493.949999999</v>
      </c>
    </row>
    <row r="134" spans="1:10" s="25" customFormat="1">
      <c r="A134" s="33" t="s">
        <v>709</v>
      </c>
      <c r="B134" s="38"/>
      <c r="D134" s="25">
        <f>D112*0.38</f>
        <v>3612402.5</v>
      </c>
      <c r="F134" s="25">
        <f>F112*0</f>
        <v>0</v>
      </c>
      <c r="G134" s="25">
        <f t="shared" si="73"/>
        <v>3612402.5</v>
      </c>
    </row>
    <row r="135" spans="1:10">
      <c r="A135" s="16" t="s">
        <v>710</v>
      </c>
      <c r="B135" s="53" t="s">
        <v>238</v>
      </c>
      <c r="D135" s="60">
        <f t="shared" ref="D135:D141" si="74">D124*0.38</f>
        <v>4619151.2</v>
      </c>
      <c r="E135" s="60"/>
      <c r="F135" s="60">
        <f>F124*0</f>
        <v>0</v>
      </c>
      <c r="G135" s="6">
        <f t="shared" si="73"/>
        <v>4619151.2</v>
      </c>
    </row>
    <row r="136" spans="1:10">
      <c r="A136" s="16" t="s">
        <v>711</v>
      </c>
      <c r="B136" s="53" t="s">
        <v>239</v>
      </c>
      <c r="D136" s="60">
        <f t="shared" si="74"/>
        <v>0</v>
      </c>
      <c r="E136" s="60"/>
      <c r="F136" s="60"/>
      <c r="G136" s="6">
        <f t="shared" si="73"/>
        <v>0</v>
      </c>
    </row>
    <row r="137" spans="1:10">
      <c r="A137" s="16" t="s">
        <v>712</v>
      </c>
      <c r="B137" s="53" t="s">
        <v>240</v>
      </c>
      <c r="D137" s="60">
        <f t="shared" si="74"/>
        <v>0</v>
      </c>
      <c r="E137" s="60"/>
      <c r="F137" s="60">
        <f>F126*0</f>
        <v>0</v>
      </c>
      <c r="G137" s="6">
        <f t="shared" si="73"/>
        <v>0</v>
      </c>
    </row>
    <row r="138" spans="1:10">
      <c r="A138" s="16" t="s">
        <v>713</v>
      </c>
      <c r="B138" s="53" t="s">
        <v>245</v>
      </c>
      <c r="D138" s="60">
        <f t="shared" si="74"/>
        <v>0</v>
      </c>
      <c r="E138" s="60"/>
      <c r="F138" s="60">
        <f>F127*0</f>
        <v>0</v>
      </c>
      <c r="G138" s="6">
        <f t="shared" si="73"/>
        <v>0</v>
      </c>
    </row>
    <row r="139" spans="1:10">
      <c r="A139" s="16" t="s">
        <v>714</v>
      </c>
      <c r="B139" s="53" t="s">
        <v>246</v>
      </c>
      <c r="D139" s="60">
        <f t="shared" si="74"/>
        <v>199434.25</v>
      </c>
      <c r="E139" s="60"/>
      <c r="F139" s="60">
        <f>F128*0</f>
        <v>0</v>
      </c>
      <c r="G139" s="6">
        <f t="shared" si="73"/>
        <v>199434.25</v>
      </c>
    </row>
    <row r="140" spans="1:10">
      <c r="A140" s="16" t="s">
        <v>715</v>
      </c>
      <c r="B140" s="53" t="s">
        <v>247</v>
      </c>
      <c r="D140" s="60">
        <f t="shared" si="74"/>
        <v>3344000</v>
      </c>
      <c r="E140" s="60"/>
      <c r="F140" s="60">
        <f>F129*0</f>
        <v>0</v>
      </c>
      <c r="G140" s="6">
        <f t="shared" si="73"/>
        <v>3344000</v>
      </c>
    </row>
    <row r="141" spans="1:10">
      <c r="A141" s="16" t="s">
        <v>716</v>
      </c>
      <c r="B141" s="53" t="s">
        <v>248</v>
      </c>
      <c r="D141" s="60">
        <f t="shared" si="74"/>
        <v>0</v>
      </c>
      <c r="E141" s="60"/>
      <c r="F141" s="60">
        <f>F130*0</f>
        <v>0</v>
      </c>
      <c r="G141" s="6">
        <f t="shared" si="73"/>
        <v>0</v>
      </c>
    </row>
    <row r="142" spans="1:10" s="25" customFormat="1">
      <c r="A142" s="34" t="s">
        <v>717</v>
      </c>
      <c r="B142" s="38"/>
      <c r="D142" s="25">
        <f t="shared" ref="D142" si="75">D134+D135+D136-SUM(D137:D141)</f>
        <v>4688119.45</v>
      </c>
      <c r="F142" s="25">
        <f>F134+F135+F136-SUM(F137:F141)</f>
        <v>0</v>
      </c>
      <c r="G142" s="25">
        <f>G134+G135+G136-SUM(G137:G141)</f>
        <v>4688119.45</v>
      </c>
    </row>
    <row r="143" spans="1:10">
      <c r="A143" s="61" t="s">
        <v>346</v>
      </c>
      <c r="G143" s="6">
        <f>SUM(C143:F143)</f>
        <v>0</v>
      </c>
    </row>
    <row r="144" spans="1:10">
      <c r="A144" s="62" t="s">
        <v>347</v>
      </c>
      <c r="G144" s="6">
        <f>SUM(C144:F144)</f>
        <v>0</v>
      </c>
    </row>
    <row r="145" spans="1:10">
      <c r="A145" s="6" t="s">
        <v>348</v>
      </c>
      <c r="D145" s="6">
        <f>D133+D134+D136-D140+D143+D144</f>
        <v>14435896.449999999</v>
      </c>
      <c r="F145" s="6">
        <f>F133+F134+F136-F140+F143+F144</f>
        <v>0</v>
      </c>
      <c r="G145" s="6">
        <f>SUM(C145:F145)</f>
        <v>14435896.449999999</v>
      </c>
      <c r="H145" s="6">
        <f>G145-J74</f>
        <v>0.01</v>
      </c>
    </row>
    <row r="146" spans="1:10">
      <c r="A146" s="6" t="s">
        <v>349</v>
      </c>
      <c r="D146" s="6">
        <f>D75*0.38</f>
        <v>14435896.439999999</v>
      </c>
      <c r="F146" s="6">
        <f>F75*0</f>
        <v>0</v>
      </c>
      <c r="G146" s="6">
        <f>SUM(C146:F146)</f>
        <v>14435896.439999999</v>
      </c>
      <c r="H146" s="6">
        <f>G146-J74</f>
        <v>0</v>
      </c>
    </row>
    <row r="147" spans="1:10">
      <c r="A147" s="6"/>
      <c r="D147" s="6">
        <f>D145-D146</f>
        <v>0.01</v>
      </c>
      <c r="F147" s="6">
        <f>F145-F146</f>
        <v>0</v>
      </c>
    </row>
    <row r="148" spans="1:10" s="20" customFormat="1" ht="36.75" customHeight="1">
      <c r="A148" s="255" t="s">
        <v>734</v>
      </c>
      <c r="B148" s="255"/>
      <c r="J148" s="6"/>
    </row>
    <row r="149" spans="1:10">
      <c r="A149" s="1" t="s">
        <v>87</v>
      </c>
      <c r="B149" s="2"/>
    </row>
    <row r="150" spans="1:10">
      <c r="A150" s="21" t="s">
        <v>88</v>
      </c>
      <c r="B150" s="22"/>
    </row>
    <row r="151" spans="1:10">
      <c r="A151" s="3" t="s">
        <v>89</v>
      </c>
      <c r="B151" s="22" t="s">
        <v>249</v>
      </c>
      <c r="C151" s="6">
        <v>1845034559.02</v>
      </c>
      <c r="D151" s="6">
        <v>909608350.54999995</v>
      </c>
      <c r="F151" s="6">
        <v>114731952.27</v>
      </c>
      <c r="G151" s="6">
        <f>SUM(C151:F151)</f>
        <v>2869374861.8400002</v>
      </c>
      <c r="H151" s="6">
        <f>SUMIF(本期抵消分录!C:C,B151,本期抵消分录!E:E)</f>
        <v>0</v>
      </c>
      <c r="I151" s="6">
        <f>SUMIF(本期抵消分录!C:C,B151,本期抵消分录!F:F)</f>
        <v>0</v>
      </c>
      <c r="J151" s="6">
        <f>G151+H151-I151</f>
        <v>2869374861.8400002</v>
      </c>
    </row>
    <row r="152" spans="1:10">
      <c r="A152" s="3" t="s">
        <v>90</v>
      </c>
      <c r="B152" s="22" t="s">
        <v>250</v>
      </c>
      <c r="C152" s="6">
        <v>10431934.970000001</v>
      </c>
      <c r="D152" s="6">
        <v>13777257.51</v>
      </c>
      <c r="F152" s="6">
        <v>0</v>
      </c>
      <c r="G152" s="6">
        <f>SUM(C152:F152)</f>
        <v>24209192.48</v>
      </c>
      <c r="H152" s="6">
        <f>SUMIF(本期抵消分录!C:C,B152,本期抵消分录!E:E)</f>
        <v>0</v>
      </c>
      <c r="I152" s="6">
        <f>SUMIF(本期抵消分录!C:C,B152,本期抵消分录!F:F)</f>
        <v>0</v>
      </c>
      <c r="J152" s="6">
        <f>G152+H152-I152</f>
        <v>24209192.48</v>
      </c>
    </row>
    <row r="153" spans="1:10">
      <c r="A153" s="3" t="s">
        <v>91</v>
      </c>
      <c r="B153" s="22" t="s">
        <v>251</v>
      </c>
      <c r="C153" s="6">
        <v>378886781.14999998</v>
      </c>
      <c r="D153" s="6">
        <v>9408751.9100000001</v>
      </c>
      <c r="F153" s="6">
        <v>-28312.9</v>
      </c>
      <c r="G153" s="6">
        <f>SUM(C153:F153)</f>
        <v>388267220.16000003</v>
      </c>
      <c r="H153" s="6">
        <f>SUMIF(本期抵消分录!C:C,B153,本期抵消分录!E:E)</f>
        <v>0</v>
      </c>
      <c r="I153" s="6">
        <f>SUMIF(本期抵消分录!C:C,B153,本期抵消分录!F:F)</f>
        <v>1135000</v>
      </c>
      <c r="J153" s="6">
        <f>G153+H153-I153</f>
        <v>387132220.16000003</v>
      </c>
    </row>
    <row r="154" spans="1:10" s="26" customFormat="1">
      <c r="A154" s="35" t="s">
        <v>92</v>
      </c>
      <c r="B154" s="36"/>
      <c r="C154" s="26">
        <f t="shared" ref="C154:D154" si="76">SUM(C151:C153)</f>
        <v>2234353275.1399999</v>
      </c>
      <c r="D154" s="26">
        <f t="shared" si="76"/>
        <v>932794359.97000003</v>
      </c>
      <c r="F154" s="26">
        <f t="shared" ref="F154" si="77">SUM(F151:F153)</f>
        <v>114703639.37</v>
      </c>
      <c r="G154" s="26">
        <f>SUM(G151:G153)</f>
        <v>3281851274.48</v>
      </c>
      <c r="J154" s="26">
        <f>SUM(J151:J153)</f>
        <v>3280716274.48</v>
      </c>
    </row>
    <row r="155" spans="1:10">
      <c r="A155" s="3" t="s">
        <v>93</v>
      </c>
      <c r="B155" s="22" t="s">
        <v>252</v>
      </c>
      <c r="C155" s="6">
        <v>1829332621.4000001</v>
      </c>
      <c r="D155" s="6">
        <v>937795792.48000002</v>
      </c>
      <c r="F155" s="6">
        <v>107592640.19</v>
      </c>
      <c r="G155" s="6">
        <f>SUM(C155:F155)</f>
        <v>2874721054.0700002</v>
      </c>
      <c r="H155" s="6">
        <f>SUMIF(本期抵消分录!C:C,B155,本期抵消分录!E:E)</f>
        <v>0</v>
      </c>
      <c r="I155" s="6">
        <f>SUMIF(本期抵消分录!C:C,B155,本期抵消分录!F:F)</f>
        <v>0</v>
      </c>
      <c r="J155" s="6">
        <f>G155+I155-H155</f>
        <v>2874721054.0700002</v>
      </c>
    </row>
    <row r="156" spans="1:10">
      <c r="A156" s="3" t="s">
        <v>95</v>
      </c>
      <c r="B156" s="22" t="s">
        <v>253</v>
      </c>
      <c r="C156" s="6">
        <v>18385579.02</v>
      </c>
      <c r="D156" s="6">
        <v>10476341.029999999</v>
      </c>
      <c r="F156" s="6">
        <v>230161.49</v>
      </c>
      <c r="G156" s="6">
        <f>SUM(C156:F156)</f>
        <v>29092081.539999999</v>
      </c>
      <c r="H156" s="6">
        <f>SUMIF(本期抵消分录!C:C,B156,本期抵消分录!E:E)</f>
        <v>0</v>
      </c>
      <c r="I156" s="6">
        <f>SUMIF(本期抵消分录!C:C,B156,本期抵消分录!F:F)</f>
        <v>0</v>
      </c>
      <c r="J156" s="6">
        <f>G156+I156-H156</f>
        <v>29092081.539999999</v>
      </c>
    </row>
    <row r="157" spans="1:10">
      <c r="A157" s="3" t="s">
        <v>96</v>
      </c>
      <c r="B157" s="22" t="s">
        <v>254</v>
      </c>
      <c r="C157" s="6">
        <v>7265214.5199999996</v>
      </c>
      <c r="D157" s="6">
        <v>10917230.380000001</v>
      </c>
      <c r="F157" s="6">
        <v>199153.28</v>
      </c>
      <c r="G157" s="6">
        <f>SUM(C157:F157)</f>
        <v>18381598.18</v>
      </c>
      <c r="H157" s="6">
        <f>SUMIF(本期抵消分录!C:C,B157,本期抵消分录!E:E)</f>
        <v>0</v>
      </c>
      <c r="I157" s="6">
        <f>SUMIF(本期抵消分录!C:C,B157,本期抵消分录!F:F)</f>
        <v>0</v>
      </c>
      <c r="J157" s="6">
        <f>G157+I157-H157</f>
        <v>18381598.18</v>
      </c>
    </row>
    <row r="158" spans="1:10">
      <c r="A158" s="3" t="s">
        <v>98</v>
      </c>
      <c r="B158" s="22" t="s">
        <v>255</v>
      </c>
      <c r="C158" s="6">
        <v>45662042.859999999</v>
      </c>
      <c r="D158" s="6">
        <v>14652708.48</v>
      </c>
      <c r="F158" s="6">
        <v>143621.32</v>
      </c>
      <c r="G158" s="6">
        <f>SUM(C158:F158)</f>
        <v>60458372.659999996</v>
      </c>
      <c r="H158" s="6">
        <f>SUMIF(本期抵消分录!C:C,B158,本期抵消分录!E:E)</f>
        <v>6100000</v>
      </c>
      <c r="I158" s="6">
        <f>SUMIF(本期抵消分录!C:C,B158,本期抵消分录!F:F)</f>
        <v>0</v>
      </c>
      <c r="J158" s="6">
        <f>G158+I158-H158</f>
        <v>54358372.659999996</v>
      </c>
    </row>
    <row r="159" spans="1:10" s="26" customFormat="1">
      <c r="A159" s="35" t="s">
        <v>99</v>
      </c>
      <c r="B159" s="36"/>
      <c r="C159" s="26">
        <f t="shared" ref="C159:D159" si="78">SUM(C155:C158)</f>
        <v>1900645457.8</v>
      </c>
      <c r="D159" s="26">
        <f t="shared" si="78"/>
        <v>973842072.37</v>
      </c>
      <c r="F159" s="26">
        <f t="shared" ref="F159" si="79">SUM(F155:F158)</f>
        <v>108165576.28</v>
      </c>
      <c r="G159" s="26">
        <f>SUM(G155:G158)</f>
        <v>2982653106.4499998</v>
      </c>
      <c r="J159" s="26">
        <f>SUM(J155:J158)</f>
        <v>2976553106.4499998</v>
      </c>
    </row>
    <row r="160" spans="1:10" s="25" customFormat="1">
      <c r="A160" s="37" t="s">
        <v>100</v>
      </c>
      <c r="B160" s="38"/>
      <c r="C160" s="25">
        <f t="shared" ref="C160:D160" si="80">C154-C159</f>
        <v>333707817.33999997</v>
      </c>
      <c r="D160" s="25">
        <f t="shared" si="80"/>
        <v>-41047712.399999999</v>
      </c>
      <c r="F160" s="25">
        <f t="shared" ref="F160" si="81">F154-F159</f>
        <v>6538063.0899999999</v>
      </c>
      <c r="G160" s="25">
        <f>G154-G159</f>
        <v>299198168.02999997</v>
      </c>
      <c r="J160" s="25">
        <f>J154-J159</f>
        <v>304163168.02999997</v>
      </c>
    </row>
    <row r="161" spans="1:10">
      <c r="A161" s="21" t="s">
        <v>101</v>
      </c>
      <c r="B161" s="22"/>
      <c r="G161" s="6">
        <f t="shared" ref="G161:G166" si="82">SUM(C161:F161)</f>
        <v>0</v>
      </c>
      <c r="J161" s="6">
        <f t="shared" ref="J161:J166" si="83">G161+H161-I161</f>
        <v>0</v>
      </c>
    </row>
    <row r="162" spans="1:10">
      <c r="A162" s="3" t="s">
        <v>102</v>
      </c>
      <c r="B162" s="22" t="s">
        <v>259</v>
      </c>
      <c r="C162" s="6">
        <v>293029428.19999999</v>
      </c>
      <c r="D162" s="6">
        <v>0</v>
      </c>
      <c r="F162" s="6">
        <v>0</v>
      </c>
      <c r="G162" s="6">
        <f t="shared" si="82"/>
        <v>293029428.19999999</v>
      </c>
      <c r="H162" s="6">
        <f>SUMIF(本期抵消分录!C:C,B162,本期抵消分录!E:E)</f>
        <v>0</v>
      </c>
      <c r="I162" s="6">
        <f>SUMIF(本期抵消分录!C:C,B162,本期抵消分录!F:F)</f>
        <v>0</v>
      </c>
      <c r="J162" s="6">
        <f>G162+H162-I162</f>
        <v>293029428.19999999</v>
      </c>
    </row>
    <row r="163" spans="1:10">
      <c r="A163" s="3" t="s">
        <v>103</v>
      </c>
      <c r="B163" s="22" t="s">
        <v>256</v>
      </c>
      <c r="C163" s="6">
        <v>46625231.399999999</v>
      </c>
      <c r="D163" s="6">
        <v>0</v>
      </c>
      <c r="F163" s="6">
        <v>0</v>
      </c>
      <c r="G163" s="6">
        <f t="shared" si="82"/>
        <v>46625231.399999999</v>
      </c>
      <c r="H163" s="6">
        <f>SUMIF(本期抵消分录!C:C,B163,本期抵消分录!E:E)</f>
        <v>0</v>
      </c>
      <c r="I163" s="6">
        <f>SUMIF(本期抵消分录!C:C,B163,本期抵消分录!F:F)</f>
        <v>5456000</v>
      </c>
      <c r="J163" s="6">
        <f t="shared" si="83"/>
        <v>41169231.399999999</v>
      </c>
    </row>
    <row r="164" spans="1:10">
      <c r="A164" s="3" t="s">
        <v>104</v>
      </c>
      <c r="B164" s="22" t="s">
        <v>257</v>
      </c>
      <c r="C164" s="6">
        <v>5080</v>
      </c>
      <c r="D164" s="6">
        <v>36000</v>
      </c>
      <c r="F164" s="6">
        <v>0</v>
      </c>
      <c r="G164" s="6">
        <f t="shared" si="82"/>
        <v>41080</v>
      </c>
      <c r="H164" s="6">
        <f>SUMIF(本期抵消分录!C:C,B164,本期抵消分录!E:E)</f>
        <v>0</v>
      </c>
      <c r="I164" s="6">
        <f>SUMIF(本期抵消分录!C:C,B164,本期抵消分录!F:F)</f>
        <v>0</v>
      </c>
      <c r="J164" s="6">
        <f t="shared" si="83"/>
        <v>41080</v>
      </c>
    </row>
    <row r="165" spans="1:10">
      <c r="A165" s="3" t="s">
        <v>105</v>
      </c>
      <c r="B165" s="22" t="s">
        <v>258</v>
      </c>
      <c r="C165" s="6">
        <v>0</v>
      </c>
      <c r="D165" s="6">
        <v>0</v>
      </c>
      <c r="F165" s="6">
        <v>0</v>
      </c>
      <c r="G165" s="6">
        <f t="shared" si="82"/>
        <v>0</v>
      </c>
      <c r="H165" s="6">
        <f>SUMIF(本期抵消分录!C:C,B165,本期抵消分录!E:E)</f>
        <v>0</v>
      </c>
      <c r="I165" s="6">
        <f>SUMIF(本期抵消分录!C:C,B165,本期抵消分录!F:F)</f>
        <v>0</v>
      </c>
      <c r="J165" s="6">
        <f t="shared" si="83"/>
        <v>0</v>
      </c>
    </row>
    <row r="166" spans="1:10">
      <c r="A166" s="3" t="s">
        <v>106</v>
      </c>
      <c r="B166" s="22" t="s">
        <v>260</v>
      </c>
      <c r="C166" s="6">
        <v>360000</v>
      </c>
      <c r="D166" s="6">
        <v>0</v>
      </c>
      <c r="F166" s="6">
        <v>0</v>
      </c>
      <c r="G166" s="6">
        <f t="shared" si="82"/>
        <v>360000</v>
      </c>
      <c r="H166" s="6">
        <f>SUMIF(本期抵消分录!C:C,B166,本期抵消分录!E:E)</f>
        <v>0</v>
      </c>
      <c r="I166" s="6">
        <f>SUMIF(本期抵消分录!C:C,B166,本期抵消分录!F:F)</f>
        <v>0</v>
      </c>
      <c r="J166" s="6">
        <f t="shared" si="83"/>
        <v>360000</v>
      </c>
    </row>
    <row r="167" spans="1:10" s="26" customFormat="1">
      <c r="A167" s="35" t="s">
        <v>85</v>
      </c>
      <c r="B167" s="36"/>
      <c r="C167" s="26">
        <f t="shared" ref="C167:D167" si="84">SUM(C162:C166)</f>
        <v>340019739.60000002</v>
      </c>
      <c r="D167" s="26">
        <f t="shared" si="84"/>
        <v>36000</v>
      </c>
      <c r="F167" s="26">
        <f t="shared" ref="F167" si="85">SUM(F162:F166)</f>
        <v>0</v>
      </c>
      <c r="G167" s="26">
        <f>SUM(G162:G166)</f>
        <v>340055739.60000002</v>
      </c>
      <c r="J167" s="26">
        <f>SUM(J162:J166)</f>
        <v>334599739.60000002</v>
      </c>
    </row>
    <row r="168" spans="1:10">
      <c r="A168" s="3" t="s">
        <v>107</v>
      </c>
      <c r="B168" s="22" t="s">
        <v>261</v>
      </c>
      <c r="C168" s="6">
        <v>199378.27</v>
      </c>
      <c r="D168" s="6">
        <v>133408.48000000001</v>
      </c>
      <c r="F168" s="6">
        <v>9350.58</v>
      </c>
      <c r="G168" s="6">
        <f>SUM(C168:F168)</f>
        <v>342137.33</v>
      </c>
      <c r="H168" s="6">
        <f>SUMIF(本期抵消分录!C:C,B168,本期抵消分录!E:E)</f>
        <v>0</v>
      </c>
      <c r="I168" s="6">
        <f>SUMIF(本期抵消分录!C:C,B168,本期抵消分录!F:F)</f>
        <v>0</v>
      </c>
      <c r="J168" s="6">
        <f>G168+I168-H168</f>
        <v>342137.33</v>
      </c>
    </row>
    <row r="169" spans="1:10">
      <c r="A169" s="3" t="s">
        <v>108</v>
      </c>
      <c r="B169" s="22" t="s">
        <v>262</v>
      </c>
      <c r="C169" s="6">
        <v>635838064.29999995</v>
      </c>
      <c r="D169" s="6">
        <v>0</v>
      </c>
      <c r="F169" s="6">
        <v>0</v>
      </c>
      <c r="G169" s="6">
        <f>SUM(C169:F169)</f>
        <v>635838064.29999995</v>
      </c>
      <c r="H169" s="6">
        <f>SUMIF(本期抵消分录!C:C,B169,本期抵消分录!E:E)</f>
        <v>0</v>
      </c>
      <c r="I169" s="6">
        <f>SUMIF(本期抵消分录!C:C,B169,本期抵消分录!F:F)</f>
        <v>0</v>
      </c>
      <c r="J169" s="6">
        <f>G169+I169-H169</f>
        <v>635838064.29999995</v>
      </c>
    </row>
    <row r="170" spans="1:10">
      <c r="A170" s="3" t="s">
        <v>109</v>
      </c>
      <c r="B170" s="22" t="s">
        <v>263</v>
      </c>
      <c r="C170" s="6">
        <v>0</v>
      </c>
      <c r="D170" s="6">
        <v>0</v>
      </c>
      <c r="F170" s="6">
        <v>0</v>
      </c>
      <c r="G170" s="6">
        <f>SUM(C170:F170)</f>
        <v>0</v>
      </c>
      <c r="H170" s="6">
        <f>SUMIF(本期抵消分录!C:C,B170,本期抵消分录!E:E)</f>
        <v>0</v>
      </c>
      <c r="I170" s="6">
        <f>SUMIF(本期抵消分录!C:C,B170,本期抵消分录!F:F)</f>
        <v>0</v>
      </c>
      <c r="J170" s="6">
        <f>G170+I170-H170</f>
        <v>0</v>
      </c>
    </row>
    <row r="171" spans="1:10">
      <c r="A171" s="3" t="s">
        <v>110</v>
      </c>
      <c r="B171" s="22" t="s">
        <v>264</v>
      </c>
      <c r="C171" s="6">
        <v>41548</v>
      </c>
      <c r="D171" s="6">
        <v>0</v>
      </c>
      <c r="F171" s="6">
        <v>0</v>
      </c>
      <c r="G171" s="6">
        <f>SUM(C171:F171)</f>
        <v>41548</v>
      </c>
      <c r="H171" s="6">
        <f>SUMIF(本期抵消分录!C:C,B171,本期抵消分录!E:E)</f>
        <v>0</v>
      </c>
      <c r="I171" s="6">
        <f>SUMIF(本期抵消分录!C:C,B171,本期抵消分录!F:F)</f>
        <v>0</v>
      </c>
      <c r="J171" s="6">
        <f>G171+I171-H171</f>
        <v>41548</v>
      </c>
    </row>
    <row r="172" spans="1:10" s="26" customFormat="1">
      <c r="A172" s="35" t="s">
        <v>86</v>
      </c>
      <c r="B172" s="36"/>
      <c r="C172" s="26">
        <f t="shared" ref="C172:D172" si="86">SUM(C168:C171)</f>
        <v>636078990.57000005</v>
      </c>
      <c r="D172" s="26">
        <f t="shared" si="86"/>
        <v>133408.48000000001</v>
      </c>
      <c r="F172" s="26">
        <f t="shared" ref="F172" si="87">SUM(F168:F171)</f>
        <v>9350.58</v>
      </c>
      <c r="G172" s="26">
        <f>SUM(G168:G171)</f>
        <v>636221749.63</v>
      </c>
      <c r="J172" s="26">
        <f>SUM(J168:J171)</f>
        <v>636221749.63</v>
      </c>
    </row>
    <row r="173" spans="1:10" s="25" customFormat="1">
      <c r="A173" s="37" t="s">
        <v>111</v>
      </c>
      <c r="B173" s="38"/>
      <c r="C173" s="25">
        <f t="shared" ref="C173:D173" si="88">C167-C172</f>
        <v>-296059250.97000003</v>
      </c>
      <c r="D173" s="25">
        <f t="shared" si="88"/>
        <v>-97408.48</v>
      </c>
      <c r="F173" s="25">
        <f t="shared" ref="F173" si="89">F167-F172</f>
        <v>-9350.58</v>
      </c>
      <c r="G173" s="25">
        <f>G167-G172</f>
        <v>-296166010.02999997</v>
      </c>
      <c r="J173" s="25">
        <f>J167-J172</f>
        <v>-301622010.02999997</v>
      </c>
    </row>
    <row r="174" spans="1:10">
      <c r="A174" s="21" t="s">
        <v>112</v>
      </c>
      <c r="B174" s="22"/>
      <c r="G174" s="6">
        <f>SUM(C174:F174)</f>
        <v>0</v>
      </c>
      <c r="H174" s="6">
        <f>SUMIF(本期抵消分录!C:C,B174,本期抵消分录!E:E)</f>
        <v>0</v>
      </c>
      <c r="I174" s="6">
        <f>SUMIF(本期抵消分录!C:C,B174,本期抵消分录!F:F)</f>
        <v>0</v>
      </c>
      <c r="J174" s="6">
        <f>G174+H174-I174</f>
        <v>0</v>
      </c>
    </row>
    <row r="175" spans="1:10">
      <c r="A175" s="3" t="s">
        <v>113</v>
      </c>
      <c r="B175" s="22" t="s">
        <v>265</v>
      </c>
      <c r="C175" s="6">
        <v>0</v>
      </c>
      <c r="D175" s="6">
        <v>0</v>
      </c>
      <c r="F175" s="6">
        <v>0</v>
      </c>
      <c r="G175" s="6">
        <f>SUM(C175:F175)</f>
        <v>0</v>
      </c>
      <c r="H175" s="6">
        <f>SUMIF(本期抵消分录!C:C,B175,本期抵消分录!E:E)</f>
        <v>0</v>
      </c>
      <c r="I175" s="6">
        <f>SUMIF(本期抵消分录!C:C,B175,本期抵消分录!F:F)</f>
        <v>0</v>
      </c>
      <c r="J175" s="6">
        <f>G175+H175-I175</f>
        <v>0</v>
      </c>
    </row>
    <row r="176" spans="1:10">
      <c r="A176" s="3" t="s">
        <v>114</v>
      </c>
      <c r="B176" s="22" t="s">
        <v>266</v>
      </c>
      <c r="C176" s="6">
        <v>0</v>
      </c>
      <c r="D176" s="6">
        <v>0</v>
      </c>
      <c r="F176" s="6">
        <v>0</v>
      </c>
      <c r="G176" s="6">
        <f>SUM(C176:F176)</f>
        <v>0</v>
      </c>
      <c r="H176" s="6">
        <f>SUMIF(本期抵消分录!C:C,B176,本期抵消分录!E:E)</f>
        <v>0</v>
      </c>
      <c r="I176" s="6">
        <f>SUMIF(本期抵消分录!C:C,B176,本期抵消分录!F:F)</f>
        <v>0</v>
      </c>
      <c r="J176" s="6">
        <f>G176+H176-I176</f>
        <v>0</v>
      </c>
    </row>
    <row r="177" spans="1:10">
      <c r="A177" s="3" t="s">
        <v>115</v>
      </c>
      <c r="B177" s="22" t="s">
        <v>267</v>
      </c>
      <c r="C177" s="6">
        <v>0</v>
      </c>
      <c r="D177" s="6">
        <v>0</v>
      </c>
      <c r="F177" s="6">
        <v>0</v>
      </c>
      <c r="G177" s="6">
        <f>SUM(C177:F177)</f>
        <v>0</v>
      </c>
      <c r="H177" s="6">
        <f>SUMIF(本期抵消分录!C:C,B177,本期抵消分录!E:E)</f>
        <v>0</v>
      </c>
      <c r="I177" s="6">
        <f>SUMIF(本期抵消分录!C:C,B177,本期抵消分录!F:F)</f>
        <v>6000000</v>
      </c>
      <c r="J177" s="6">
        <f>G177+H177-I177</f>
        <v>-6000000</v>
      </c>
    </row>
    <row r="178" spans="1:10">
      <c r="A178" s="3" t="s">
        <v>116</v>
      </c>
      <c r="B178" s="22" t="s">
        <v>268</v>
      </c>
      <c r="C178" s="6">
        <v>0</v>
      </c>
      <c r="D178" s="6">
        <v>0</v>
      </c>
      <c r="F178" s="6">
        <v>0</v>
      </c>
      <c r="G178" s="6">
        <f>SUM(C178:F178)</f>
        <v>0</v>
      </c>
      <c r="H178" s="6">
        <f>SUMIF(本期抵消分录!C:C,B178,本期抵消分录!E:E)</f>
        <v>0</v>
      </c>
      <c r="I178" s="6">
        <f>SUMIF(本期抵消分录!C:C,B178,本期抵消分录!F:F)</f>
        <v>0</v>
      </c>
      <c r="J178" s="6">
        <f>G178+H178-I178</f>
        <v>0</v>
      </c>
    </row>
    <row r="179" spans="1:10" s="26" customFormat="1">
      <c r="A179" s="39" t="s">
        <v>117</v>
      </c>
      <c r="B179" s="40"/>
      <c r="C179" s="26">
        <f t="shared" ref="C179:D179" si="90">SUM(C175,C177:C178)</f>
        <v>0</v>
      </c>
      <c r="D179" s="26">
        <f t="shared" si="90"/>
        <v>0</v>
      </c>
      <c r="F179" s="26">
        <f t="shared" ref="F179" si="91">SUM(F175,F177:F178)</f>
        <v>0</v>
      </c>
      <c r="G179" s="26">
        <f t="shared" ref="G179" si="92">SUM(G175,G177:G178)</f>
        <v>0</v>
      </c>
      <c r="J179" s="26">
        <f>SUM(J175,J177:J178)</f>
        <v>-6000000</v>
      </c>
    </row>
    <row r="180" spans="1:10">
      <c r="A180" s="3" t="s">
        <v>118</v>
      </c>
      <c r="B180" s="22" t="s">
        <v>269</v>
      </c>
      <c r="C180" s="6">
        <v>0</v>
      </c>
      <c r="D180" s="6">
        <v>0</v>
      </c>
      <c r="F180" s="6">
        <v>0</v>
      </c>
      <c r="G180" s="6">
        <f>SUM(C180:F180)</f>
        <v>0</v>
      </c>
      <c r="H180" s="6">
        <f>SUMIF(本期抵消分录!C:C,B180,本期抵消分录!E:E)</f>
        <v>1000000</v>
      </c>
      <c r="I180" s="6">
        <f>SUMIF(本期抵消分录!C:C,B180,本期抵消分录!F:F)</f>
        <v>0</v>
      </c>
      <c r="J180" s="6">
        <f>G180+I180-H180</f>
        <v>-1000000</v>
      </c>
    </row>
    <row r="181" spans="1:10">
      <c r="A181" s="3" t="s">
        <v>119</v>
      </c>
      <c r="B181" s="22" t="s">
        <v>270</v>
      </c>
      <c r="C181" s="6">
        <v>26033100</v>
      </c>
      <c r="D181" s="6">
        <v>8854000</v>
      </c>
      <c r="F181" s="6">
        <v>0</v>
      </c>
      <c r="G181" s="6">
        <f>SUM(C181:F181)</f>
        <v>34887100</v>
      </c>
      <c r="H181" s="6">
        <f>SUMIF(本期抵消分录!C:C,B181,本期抵消分录!E:E)</f>
        <v>5491000</v>
      </c>
      <c r="I181" s="6">
        <f>SUMIF(本期抵消分录!C:C,B181,本期抵消分录!F:F)</f>
        <v>0</v>
      </c>
      <c r="J181" s="6">
        <f>G181+I181-H181</f>
        <v>29396100</v>
      </c>
    </row>
    <row r="182" spans="1:10">
      <c r="A182" s="3" t="s">
        <v>120</v>
      </c>
      <c r="B182" s="22" t="s">
        <v>271</v>
      </c>
      <c r="C182" s="6">
        <v>0</v>
      </c>
      <c r="D182" s="6">
        <v>0</v>
      </c>
      <c r="F182" s="6">
        <v>0</v>
      </c>
      <c r="G182" s="6">
        <f>SUM(C182:F182)</f>
        <v>0</v>
      </c>
      <c r="H182" s="6">
        <f>SUMIF(本期抵消分录!C:C,B182,本期抵消分录!E:E)</f>
        <v>0</v>
      </c>
      <c r="I182" s="6">
        <f>SUMIF(本期抵消分录!C:C,B182,本期抵消分录!F:F)</f>
        <v>0</v>
      </c>
      <c r="J182" s="6">
        <f>G182+I182-H182</f>
        <v>0</v>
      </c>
    </row>
    <row r="183" spans="1:10">
      <c r="A183" s="3" t="s">
        <v>121</v>
      </c>
      <c r="B183" s="22" t="s">
        <v>272</v>
      </c>
      <c r="C183" s="6">
        <v>0</v>
      </c>
      <c r="D183" s="6">
        <v>0</v>
      </c>
      <c r="F183" s="6">
        <v>0</v>
      </c>
      <c r="G183" s="6">
        <f>SUM(C183:F183)</f>
        <v>0</v>
      </c>
      <c r="H183" s="6">
        <f>SUMIF(本期抵消分录!C:C,B183,本期抵消分录!E:E)</f>
        <v>0</v>
      </c>
      <c r="I183" s="6">
        <f>SUMIF(本期抵消分录!C:C,B183,本期抵消分录!F:F)</f>
        <v>0</v>
      </c>
      <c r="J183" s="6">
        <f>G183+I183-H183</f>
        <v>0</v>
      </c>
    </row>
    <row r="184" spans="1:10" s="26" customFormat="1">
      <c r="A184" s="35" t="s">
        <v>122</v>
      </c>
      <c r="B184" s="36"/>
      <c r="C184" s="26">
        <f t="shared" ref="C184:D184" si="93">SUM(C180:C183)</f>
        <v>26033100</v>
      </c>
      <c r="D184" s="26">
        <f t="shared" si="93"/>
        <v>8854000</v>
      </c>
      <c r="F184" s="26">
        <f t="shared" ref="F184" si="94">SUM(F180:F183)</f>
        <v>0</v>
      </c>
      <c r="G184" s="26">
        <f>SUM(G180:G183)</f>
        <v>34887100</v>
      </c>
      <c r="J184" s="26">
        <f>SUM(J180:J181,J183)</f>
        <v>28396100</v>
      </c>
    </row>
    <row r="185" spans="1:10" s="25" customFormat="1">
      <c r="A185" s="37" t="s">
        <v>123</v>
      </c>
      <c r="B185" s="38"/>
      <c r="C185" s="25">
        <f t="shared" ref="C185:D185" si="95">C179-C184</f>
        <v>-26033100</v>
      </c>
      <c r="D185" s="25">
        <f t="shared" si="95"/>
        <v>-8854000</v>
      </c>
      <c r="F185" s="25">
        <f t="shared" ref="F185" si="96">F179-F184</f>
        <v>0</v>
      </c>
      <c r="G185" s="25">
        <f>G179-G184</f>
        <v>-34887100</v>
      </c>
      <c r="J185" s="25">
        <f>J179-J184</f>
        <v>-34396100</v>
      </c>
    </row>
    <row r="186" spans="1:10">
      <c r="A186" s="21" t="s">
        <v>124</v>
      </c>
      <c r="B186" s="22" t="s">
        <v>273</v>
      </c>
      <c r="C186" s="6">
        <v>540546.88</v>
      </c>
      <c r="D186" s="6">
        <v>-300956.92</v>
      </c>
      <c r="F186" s="6">
        <v>75574.67</v>
      </c>
      <c r="G186" s="6">
        <f>SUM(C186:F186)</f>
        <v>315164.63</v>
      </c>
      <c r="J186" s="6">
        <f>G186+H186-I186</f>
        <v>315164.63</v>
      </c>
    </row>
    <row r="187" spans="1:10" s="29" customFormat="1">
      <c r="A187" s="41" t="s">
        <v>125</v>
      </c>
      <c r="B187" s="42"/>
      <c r="C187" s="29">
        <f t="shared" ref="C187:D187" si="97">C160+C173+C185+C186</f>
        <v>12156013.25</v>
      </c>
      <c r="D187" s="29">
        <f t="shared" si="97"/>
        <v>-50300077.799999997</v>
      </c>
      <c r="F187" s="29">
        <f t="shared" ref="F187" si="98">F160+F173+F185+F186</f>
        <v>6604287.1799999997</v>
      </c>
      <c r="G187" s="29">
        <f>G160+G173+G185+G186</f>
        <v>-31539777.370000001</v>
      </c>
      <c r="J187" s="29">
        <f>J160+J173+J185+J186</f>
        <v>-31539777.370000001</v>
      </c>
    </row>
    <row r="188" spans="1:10">
      <c r="A188" s="3" t="s">
        <v>126</v>
      </c>
      <c r="B188" s="23" t="s">
        <v>274</v>
      </c>
      <c r="C188" s="6">
        <v>306767011.38</v>
      </c>
      <c r="D188" s="6">
        <v>421467996.63999999</v>
      </c>
      <c r="F188" s="6">
        <v>19248342.25</v>
      </c>
      <c r="G188" s="6">
        <f>SUM(C188:F188)</f>
        <v>747483350.26999998</v>
      </c>
      <c r="J188" s="6">
        <f>G188+H188-I188</f>
        <v>747483350.26999998</v>
      </c>
    </row>
    <row r="189" spans="1:10" s="29" customFormat="1">
      <c r="A189" s="47" t="s">
        <v>127</v>
      </c>
      <c r="B189" s="48"/>
      <c r="C189" s="29">
        <f t="shared" ref="C189:D189" si="99">C187+C188</f>
        <v>318923024.63</v>
      </c>
      <c r="D189" s="29">
        <f t="shared" si="99"/>
        <v>371167918.83999997</v>
      </c>
      <c r="F189" s="29">
        <f t="shared" ref="F189" si="100">F187+F188</f>
        <v>25852629.43</v>
      </c>
      <c r="G189" s="29">
        <f>G187+G188</f>
        <v>715943572.89999998</v>
      </c>
      <c r="J189" s="29">
        <f>J187+J188</f>
        <v>715943572.89999998</v>
      </c>
    </row>
    <row r="190" spans="1:10" s="20" customFormat="1">
      <c r="A190" s="19"/>
      <c r="B190" s="213"/>
      <c r="C190" s="117"/>
      <c r="D190" s="117"/>
      <c r="E190" s="117"/>
      <c r="F190" s="117"/>
      <c r="G190" s="117"/>
      <c r="J190" s="20" t="str">
        <f>IF(ABS(INT((J189-J5)*100+0.5))&lt;&gt;0,"现金净流量有误"," ")</f>
        <v>现金净流量有误</v>
      </c>
    </row>
    <row r="191" spans="1:10">
      <c r="A191" s="1" t="s">
        <v>87</v>
      </c>
      <c r="B191" s="2"/>
    </row>
    <row r="192" spans="1:10" ht="12.75">
      <c r="A192" s="43" t="s">
        <v>155</v>
      </c>
      <c r="B192" s="22"/>
    </row>
    <row r="193" spans="1:10" s="45" customFormat="1">
      <c r="A193" s="49" t="s">
        <v>128</v>
      </c>
      <c r="B193" s="50" t="s">
        <v>275</v>
      </c>
      <c r="C193" s="45">
        <f t="shared" ref="C193:D193" si="101">C110</f>
        <v>57209117.270000003</v>
      </c>
      <c r="D193" s="45">
        <f t="shared" si="101"/>
        <v>9506322.3599999994</v>
      </c>
      <c r="F193" s="45">
        <f t="shared" ref="F193" si="102">F110</f>
        <v>327317.24</v>
      </c>
      <c r="G193" s="45">
        <f>G110</f>
        <v>67042756.869999997</v>
      </c>
      <c r="J193" s="45">
        <f>J110</f>
        <v>61586756.869999997</v>
      </c>
    </row>
    <row r="194" spans="1:10">
      <c r="A194" s="3" t="s">
        <v>129</v>
      </c>
      <c r="B194" s="53" t="s">
        <v>276</v>
      </c>
      <c r="C194" s="6">
        <v>1570484.75</v>
      </c>
      <c r="D194" s="6">
        <v>573364.06000000006</v>
      </c>
      <c r="F194" s="6">
        <v>0</v>
      </c>
      <c r="G194" s="6">
        <f t="shared" ref="G194:G208" si="103">SUM(C194:F194)</f>
        <v>2143848.81</v>
      </c>
      <c r="J194" s="6">
        <f t="shared" ref="J194:J201" si="104">G194-H194+I194</f>
        <v>2143848.81</v>
      </c>
    </row>
    <row r="195" spans="1:10">
      <c r="A195" s="3" t="s">
        <v>130</v>
      </c>
      <c r="B195" s="53" t="s">
        <v>277</v>
      </c>
      <c r="C195" s="6">
        <v>1568870.82</v>
      </c>
      <c r="D195" s="6">
        <v>293598.17</v>
      </c>
      <c r="F195" s="6">
        <v>28253.360000000001</v>
      </c>
      <c r="G195" s="6">
        <f t="shared" si="103"/>
        <v>1890722.35</v>
      </c>
      <c r="J195" s="6">
        <f t="shared" si="104"/>
        <v>1890722.35</v>
      </c>
    </row>
    <row r="196" spans="1:10">
      <c r="A196" s="3" t="s">
        <v>131</v>
      </c>
      <c r="B196" s="53" t="s">
        <v>278</v>
      </c>
      <c r="C196" s="6">
        <v>12538</v>
      </c>
      <c r="D196" s="6">
        <v>1635.4</v>
      </c>
      <c r="F196" s="6">
        <v>0</v>
      </c>
      <c r="G196" s="6">
        <f t="shared" si="103"/>
        <v>14173.4</v>
      </c>
      <c r="J196" s="6">
        <f t="shared" si="104"/>
        <v>14173.4</v>
      </c>
    </row>
    <row r="197" spans="1:10">
      <c r="A197" s="3" t="s">
        <v>132</v>
      </c>
      <c r="B197" s="53" t="s">
        <v>279</v>
      </c>
      <c r="C197" s="6">
        <v>0</v>
      </c>
      <c r="D197" s="6">
        <v>267198.33</v>
      </c>
      <c r="F197" s="6">
        <v>0</v>
      </c>
      <c r="G197" s="6">
        <f t="shared" si="103"/>
        <v>267198.33</v>
      </c>
      <c r="J197" s="6">
        <f t="shared" si="104"/>
        <v>267198.33</v>
      </c>
    </row>
    <row r="198" spans="1:10">
      <c r="A198" s="3" t="s">
        <v>133</v>
      </c>
      <c r="B198" s="53" t="s">
        <v>280</v>
      </c>
      <c r="C198" s="6">
        <v>0</v>
      </c>
      <c r="D198" s="6">
        <v>0</v>
      </c>
      <c r="F198" s="6">
        <v>0</v>
      </c>
      <c r="G198" s="6">
        <f t="shared" si="103"/>
        <v>0</v>
      </c>
      <c r="J198" s="6">
        <f t="shared" si="104"/>
        <v>0</v>
      </c>
    </row>
    <row r="199" spans="1:10">
      <c r="A199" s="3" t="s">
        <v>134</v>
      </c>
      <c r="B199" s="53" t="s">
        <v>281</v>
      </c>
      <c r="C199" s="6">
        <v>33624</v>
      </c>
      <c r="D199" s="6">
        <v>-18753.72</v>
      </c>
      <c r="F199" s="6">
        <v>0</v>
      </c>
      <c r="G199" s="6">
        <f t="shared" si="103"/>
        <v>14870.28</v>
      </c>
      <c r="J199" s="6">
        <f t="shared" si="104"/>
        <v>14870.28</v>
      </c>
    </row>
    <row r="200" spans="1:10">
      <c r="A200" s="3" t="s">
        <v>135</v>
      </c>
      <c r="B200" s="53" t="s">
        <v>282</v>
      </c>
      <c r="C200" s="6">
        <v>-1038891.73</v>
      </c>
      <c r="D200" s="6">
        <v>0</v>
      </c>
      <c r="F200" s="6">
        <v>0</v>
      </c>
      <c r="G200" s="6">
        <f t="shared" si="103"/>
        <v>-1038891.73</v>
      </c>
      <c r="J200" s="6">
        <f t="shared" si="104"/>
        <v>-1038891.73</v>
      </c>
    </row>
    <row r="201" spans="1:10">
      <c r="A201" s="3" t="s">
        <v>136</v>
      </c>
      <c r="B201" s="53" t="s">
        <v>283</v>
      </c>
      <c r="C201" s="6">
        <v>-540546.88</v>
      </c>
      <c r="D201" s="6">
        <v>0</v>
      </c>
      <c r="F201" s="6">
        <v>0</v>
      </c>
      <c r="G201" s="6">
        <f t="shared" si="103"/>
        <v>-540546.88</v>
      </c>
      <c r="H201" s="6">
        <f>SUMIF(本期抵消分录!C:C,B201,本期抵消分录!E:E)</f>
        <v>35000</v>
      </c>
      <c r="I201" s="6">
        <f>SUMIF(本期抵消分录!C:C,B201,本期抵消分录!F:F)</f>
        <v>0</v>
      </c>
      <c r="J201" s="6">
        <f t="shared" si="104"/>
        <v>-575546.88</v>
      </c>
    </row>
    <row r="202" spans="1:10">
      <c r="A202" s="3" t="s">
        <v>137</v>
      </c>
      <c r="B202" s="53" t="s">
        <v>284</v>
      </c>
      <c r="C202" s="6">
        <v>-60555256.75</v>
      </c>
      <c r="D202" s="6">
        <v>0</v>
      </c>
      <c r="F202" s="6">
        <v>0</v>
      </c>
      <c r="G202" s="6">
        <f t="shared" si="103"/>
        <v>-60555256.75</v>
      </c>
      <c r="H202" s="6">
        <f>SUMIF(本期抵消分录!C:C,B202,本期抵消分录!E:E)</f>
        <v>0</v>
      </c>
      <c r="I202" s="6">
        <f>SUMIF(本期抵消分录!C:C,B202,本期抵消分录!F:F)</f>
        <v>5456000</v>
      </c>
      <c r="J202" s="6">
        <f>G202-H202+I202</f>
        <v>-55099256.75</v>
      </c>
    </row>
    <row r="203" spans="1:10">
      <c r="A203" s="3" t="s">
        <v>138</v>
      </c>
      <c r="B203" s="53" t="s">
        <v>285</v>
      </c>
      <c r="C203" s="6">
        <v>-829461.17</v>
      </c>
      <c r="D203" s="6">
        <v>-143341.01</v>
      </c>
      <c r="F203" s="6">
        <v>0</v>
      </c>
      <c r="G203" s="6">
        <f t="shared" si="103"/>
        <v>-972802.18</v>
      </c>
      <c r="J203" s="6">
        <f t="shared" ref="J203:J208" si="105">G203-H203+I203</f>
        <v>-972802.18</v>
      </c>
    </row>
    <row r="204" spans="1:10">
      <c r="A204" s="3" t="s">
        <v>139</v>
      </c>
      <c r="B204" s="53" t="s">
        <v>286</v>
      </c>
      <c r="C204" s="6">
        <v>231707.3</v>
      </c>
      <c r="D204" s="6">
        <v>0</v>
      </c>
      <c r="F204" s="6">
        <v>0</v>
      </c>
      <c r="G204" s="6">
        <f t="shared" si="103"/>
        <v>231707.3</v>
      </c>
      <c r="J204" s="6">
        <f t="shared" si="105"/>
        <v>231707.3</v>
      </c>
    </row>
    <row r="205" spans="1:10">
      <c r="A205" s="3" t="s">
        <v>140</v>
      </c>
      <c r="B205" s="53" t="s">
        <v>287</v>
      </c>
      <c r="C205" s="6">
        <v>-40769690.090000004</v>
      </c>
      <c r="D205" s="6">
        <v>-15733404.029999999</v>
      </c>
      <c r="F205" s="6">
        <v>0</v>
      </c>
      <c r="G205" s="6">
        <f t="shared" si="103"/>
        <v>-56503094.119999997</v>
      </c>
      <c r="J205" s="6">
        <f t="shared" si="105"/>
        <v>-56503094.119999997</v>
      </c>
    </row>
    <row r="206" spans="1:10">
      <c r="A206" s="3" t="s">
        <v>141</v>
      </c>
      <c r="B206" s="53" t="s">
        <v>288</v>
      </c>
      <c r="C206" s="6">
        <v>-55392985.310000002</v>
      </c>
      <c r="D206" s="6">
        <v>281913046.11000001</v>
      </c>
      <c r="F206" s="6">
        <v>-4134.6400000000003</v>
      </c>
      <c r="G206" s="6">
        <f t="shared" si="103"/>
        <v>226515926.16</v>
      </c>
      <c r="H206" s="6">
        <f>SUMIF(本期抵消分录!C:C,B206,本期抵消分录!E:E)</f>
        <v>0</v>
      </c>
      <c r="I206" s="6">
        <f>SUMIF(本期抵消分录!C:C,B206,本期抵消分录!F:F)</f>
        <v>5000000</v>
      </c>
      <c r="J206" s="6">
        <f t="shared" si="105"/>
        <v>231515926.16</v>
      </c>
    </row>
    <row r="207" spans="1:10">
      <c r="A207" s="3" t="s">
        <v>142</v>
      </c>
      <c r="B207" s="53" t="s">
        <v>289</v>
      </c>
      <c r="C207" s="6">
        <v>432208307.13</v>
      </c>
      <c r="D207" s="6">
        <v>-317707378.06999999</v>
      </c>
      <c r="F207" s="6">
        <v>6108247</v>
      </c>
      <c r="G207" s="6">
        <f t="shared" si="103"/>
        <v>120609176.06</v>
      </c>
      <c r="J207" s="6">
        <f t="shared" si="105"/>
        <v>120609176.06</v>
      </c>
    </row>
    <row r="208" spans="1:10">
      <c r="A208" s="3" t="s">
        <v>143</v>
      </c>
      <c r="B208" s="53" t="s">
        <v>290</v>
      </c>
      <c r="C208" s="6">
        <v>0</v>
      </c>
      <c r="D208" s="6">
        <v>0</v>
      </c>
      <c r="F208" s="6">
        <v>78380.13</v>
      </c>
      <c r="G208" s="6">
        <f t="shared" si="103"/>
        <v>78380.13</v>
      </c>
      <c r="H208" s="6">
        <f>SUMIF(本期抵消分录!C:C,B208,本期抵消分录!E:E)</f>
        <v>0</v>
      </c>
      <c r="I208" s="6">
        <f>SUMIF(本期抵消分录!C:C,B208,本期抵消分录!F:F)</f>
        <v>0</v>
      </c>
      <c r="J208" s="6">
        <f t="shared" si="105"/>
        <v>78380.13</v>
      </c>
    </row>
    <row r="209" spans="1:11" s="26" customFormat="1">
      <c r="A209" s="35" t="s">
        <v>144</v>
      </c>
      <c r="B209" s="36"/>
      <c r="C209" s="26">
        <f t="shared" ref="C209" si="106">SUM(C193:C208)</f>
        <v>333707817.33999997</v>
      </c>
      <c r="D209" s="26">
        <f t="shared" ref="D209" si="107">SUM(D193:D208)</f>
        <v>-41047712.399999999</v>
      </c>
      <c r="F209" s="26">
        <f t="shared" ref="F209" si="108">SUM(F193:F208)</f>
        <v>6538063.0899999999</v>
      </c>
      <c r="G209" s="26">
        <f>SUM(G193:G208)</f>
        <v>299198168.02999997</v>
      </c>
      <c r="J209" s="26">
        <f>SUM(J193:J208)</f>
        <v>304163168.02999997</v>
      </c>
    </row>
    <row r="210" spans="1:11">
      <c r="A210" s="3" t="s">
        <v>145</v>
      </c>
      <c r="B210" s="53"/>
      <c r="J210" s="6">
        <f>G210+H210-I210</f>
        <v>0</v>
      </c>
    </row>
    <row r="211" spans="1:11">
      <c r="A211" s="3" t="s">
        <v>146</v>
      </c>
      <c r="B211" s="53" t="s">
        <v>291</v>
      </c>
      <c r="J211" s="6">
        <f>G211+H211-I211</f>
        <v>0</v>
      </c>
    </row>
    <row r="212" spans="1:11">
      <c r="A212" s="3" t="s">
        <v>147</v>
      </c>
      <c r="B212" s="53" t="s">
        <v>292</v>
      </c>
      <c r="J212" s="6">
        <f>G212+H212-I212</f>
        <v>0</v>
      </c>
    </row>
    <row r="213" spans="1:11">
      <c r="A213" s="3" t="s">
        <v>148</v>
      </c>
      <c r="B213" s="53" t="s">
        <v>293</v>
      </c>
      <c r="J213" s="6">
        <f>G213+H213-I213</f>
        <v>0</v>
      </c>
    </row>
    <row r="214" spans="1:11">
      <c r="A214" s="3" t="s">
        <v>149</v>
      </c>
      <c r="B214" s="53" t="s">
        <v>294</v>
      </c>
      <c r="J214" s="6">
        <f>G214+H214-I214</f>
        <v>0</v>
      </c>
    </row>
    <row r="215" spans="1:11" s="45" customFormat="1">
      <c r="A215" s="49" t="s">
        <v>150</v>
      </c>
      <c r="B215" s="50" t="s">
        <v>295</v>
      </c>
      <c r="C215" s="45">
        <f t="shared" ref="C215:D215" si="109">C5</f>
        <v>318923024.63</v>
      </c>
      <c r="D215" s="45">
        <f t="shared" si="109"/>
        <v>368167918.83999997</v>
      </c>
      <c r="F215" s="45">
        <f t="shared" ref="F215" si="110">F5</f>
        <v>25852629.43</v>
      </c>
      <c r="G215" s="45">
        <f>G5</f>
        <v>712943572.89999998</v>
      </c>
      <c r="J215" s="45">
        <f>J5+J225</f>
        <v>715943572.89999998</v>
      </c>
    </row>
    <row r="216" spans="1:11">
      <c r="A216" s="3" t="s">
        <v>151</v>
      </c>
      <c r="B216" s="53" t="s">
        <v>296</v>
      </c>
      <c r="C216" s="6">
        <v>306767011.38</v>
      </c>
      <c r="D216" s="6">
        <v>421467996.63999999</v>
      </c>
      <c r="F216" s="6">
        <v>19248342.25</v>
      </c>
      <c r="G216" s="6">
        <f>SUM(C216:F216)</f>
        <v>747483350.26999998</v>
      </c>
      <c r="J216" s="6">
        <f>G216+H216-I216</f>
        <v>747483350.26999998</v>
      </c>
    </row>
    <row r="217" spans="1:11">
      <c r="A217" s="3" t="s">
        <v>152</v>
      </c>
      <c r="B217" s="53" t="s">
        <v>297</v>
      </c>
      <c r="J217" s="6">
        <f>G217+H217-I217</f>
        <v>0</v>
      </c>
    </row>
    <row r="218" spans="1:11">
      <c r="A218" s="3" t="s">
        <v>153</v>
      </c>
      <c r="B218" s="53" t="s">
        <v>298</v>
      </c>
      <c r="J218" s="6">
        <f>G218+H218-I218</f>
        <v>0</v>
      </c>
    </row>
    <row r="219" spans="1:11" s="26" customFormat="1">
      <c r="A219" s="51" t="s">
        <v>154</v>
      </c>
      <c r="B219" s="36" t="s">
        <v>299</v>
      </c>
      <c r="C219" s="26">
        <f t="shared" ref="C219" si="111">C215-C216</f>
        <v>12156013.25</v>
      </c>
      <c r="D219" s="26">
        <f t="shared" ref="D219" si="112">D215-D216</f>
        <v>-53300077.799999997</v>
      </c>
      <c r="F219" s="26">
        <f t="shared" ref="F219" si="113">F215-F216</f>
        <v>6604287.1799999997</v>
      </c>
      <c r="G219" s="26">
        <f>G215-G216</f>
        <v>-34539777.369999997</v>
      </c>
      <c r="J219" s="26">
        <f>J215-J216</f>
        <v>-31539777.370000001</v>
      </c>
    </row>
    <row r="220" spans="1:11">
      <c r="C220" s="20" t="str">
        <f t="shared" ref="C220:D220" si="114">IF(ABS(INT((C187-C219)*100+0.5))&lt;&gt;0,"现金净流量有误"," ")</f>
        <v/>
      </c>
      <c r="D220" s="20" t="str">
        <f t="shared" si="114"/>
        <v>现金净流量有误</v>
      </c>
      <c r="E220" s="20"/>
      <c r="F220" s="20" t="str">
        <f>IF(ABS(INT((F187-F219)*100+0.5))&lt;&gt;0,"现金净流量有误"," ")</f>
        <v/>
      </c>
      <c r="G220" s="20" t="str">
        <f>IF(ABS(INT((G187-G219)*100+0.5))&lt;&gt;0,"现金净流量有误"," ")</f>
        <v>现金净流量有误</v>
      </c>
      <c r="J220" s="20" t="str">
        <f>IF(ABS(INT((J187-J219)*100+0.5))&lt;&gt;0,"现金净流量有误"," ")</f>
        <v xml:space="preserve"> </v>
      </c>
    </row>
    <row r="221" spans="1:11">
      <c r="C221" s="20" t="str">
        <f t="shared" ref="C221:D221" si="115">IF(ABS(INT((C209-C160)*100+0.5))&lt;&gt;0,"经营现金净流量有误"," ")</f>
        <v/>
      </c>
      <c r="D221" s="20" t="str">
        <f t="shared" si="115"/>
        <v/>
      </c>
      <c r="E221" s="20"/>
      <c r="F221" s="20" t="str">
        <f>IF(ABS(INT((F209-F160)*100+0.5))&lt;&gt;0,"经营现金净流量有误"," ")</f>
        <v/>
      </c>
      <c r="G221" s="20" t="str">
        <f>IF(ABS(INT((G209-G160)*100+0.5))&lt;&gt;0,"经营现金净流量有误"," ")</f>
        <v/>
      </c>
      <c r="J221" s="20" t="str">
        <f>IF(ABS(INT((J209-J160)*100+0.5))&lt;&gt;0,"经营现金净流量有误"," ")</f>
        <v xml:space="preserve"> </v>
      </c>
      <c r="K221" s="6">
        <f>J209-J160</f>
        <v>0</v>
      </c>
    </row>
    <row r="222" spans="1:11">
      <c r="C222" s="20" t="str">
        <f t="shared" ref="C222:D222" si="116">IF(ABS(INT((C96+C202)*100+0.5))&lt;&gt;0,"流量表投收有误"," ")</f>
        <v/>
      </c>
      <c r="D222" s="20" t="str">
        <f t="shared" si="116"/>
        <v/>
      </c>
      <c r="E222" s="20"/>
      <c r="F222" s="20" t="str">
        <f>IF(ABS(INT((F96+F202)*100+0.5))&lt;&gt;0,"流量表投收有误"," ")</f>
        <v/>
      </c>
      <c r="G222" s="20" t="str">
        <f>IF(ABS(INT((G96+G202)*100+0.5))&lt;&gt;0,"流量表投收有误"," ")</f>
        <v/>
      </c>
      <c r="J222" s="20" t="str">
        <f>IF(ABS(INT((J96+J202)*100+0.5))&lt;&gt;0,"流量表投收有误"," ")</f>
        <v xml:space="preserve"> </v>
      </c>
    </row>
    <row r="223" spans="1:11">
      <c r="C223" s="20" t="str">
        <f t="shared" ref="C223:D223" si="117">IF(ABS(INT((C200+C95)*100+0.5))&lt;&gt;0,"流量表公允价值有误"," ")</f>
        <v/>
      </c>
      <c r="D223" s="20" t="str">
        <f t="shared" si="117"/>
        <v/>
      </c>
      <c r="E223" s="20"/>
      <c r="F223" s="20" t="str">
        <f>IF(ABS(INT((F200+F95)*100+0.5))&lt;&gt;0,"流量表公允价值有误"," ")</f>
        <v/>
      </c>
      <c r="G223" s="20" t="str">
        <f>IF(ABS(INT((G200+G95)*100+0.5))&lt;&gt;0,"流量表公允价值有误"," ")</f>
        <v/>
      </c>
      <c r="J223" s="20" t="str">
        <f>IF(ABS(INT((J200+J95)*100+0.5))&lt;&gt;0,"流量表公允价值有误"," ")</f>
        <v xml:space="preserve"> </v>
      </c>
    </row>
    <row r="224" spans="1:11">
      <c r="C224" s="20" t="str">
        <f t="shared" ref="C224:D224" si="118">IF(ABS(INT((C194-C94)*100+0.5))&lt;&gt;0,"流量表减值准备有误"," ")</f>
        <v/>
      </c>
      <c r="D224" s="20" t="str">
        <f t="shared" si="118"/>
        <v/>
      </c>
      <c r="E224" s="20"/>
      <c r="F224" s="20" t="str">
        <f>IF(ABS(INT((F194-F94)*100+0.5))&lt;&gt;0,"流量表减值准备有误"," ")</f>
        <v/>
      </c>
      <c r="G224" s="20" t="str">
        <f>IF(ABS(INT((G194-G94)*100+0.5))&lt;&gt;0,"流量表减值准备有误"," ")</f>
        <v/>
      </c>
      <c r="J224" s="20" t="str">
        <f>IF(ABS(INT((J194-J94)*100+0.5))&lt;&gt;0,"流量表减值准备有误"," ")</f>
        <v xml:space="preserve"> </v>
      </c>
    </row>
    <row r="225" spans="3:10">
      <c r="C225" s="6">
        <f t="shared" ref="C225:D225" si="119">C189-C5</f>
        <v>0</v>
      </c>
      <c r="D225" s="6">
        <f t="shared" si="119"/>
        <v>3000000</v>
      </c>
      <c r="F225" s="6">
        <f>F189-F5</f>
        <v>0</v>
      </c>
      <c r="G225" s="6">
        <f>G189-G5</f>
        <v>3000000</v>
      </c>
      <c r="H225" s="6">
        <f>H189-H5</f>
        <v>0</v>
      </c>
      <c r="I225" s="6">
        <f>I189-I5</f>
        <v>0</v>
      </c>
      <c r="J225" s="6">
        <f>J189-J5</f>
        <v>3000000</v>
      </c>
    </row>
  </sheetData>
  <mergeCells count="3">
    <mergeCell ref="A1:A2"/>
    <mergeCell ref="H1:I1"/>
    <mergeCell ref="A148:B148"/>
  </mergeCells>
  <phoneticPr fontId="3" type="noConversion"/>
  <pageMargins left="1.0236220472440944" right="0.98425196850393704" top="0.98425196850393704" bottom="0.98425196850393704" header="0.51181102362204722" footer="0.51181102362204722"/>
  <pageSetup paperSize="9" scale="85" orientation="landscape" verticalDpi="1200" r:id="rId1"/>
  <headerFooter alignWithMargins="0">
    <oddHeader>&amp;C&amp;"微软雅黑,常规"&amp;18 2014年末数据</oddHeader>
  </headerFooter>
  <colBreaks count="1" manualBreakCount="1">
    <brk id="10" max="1048575" man="1"/>
  </colBreaks>
</worksheet>
</file>

<file path=xl/worksheets/sheet7.xml><?xml version="1.0" encoding="utf-8"?>
<worksheet xmlns="http://schemas.openxmlformats.org/spreadsheetml/2006/main" xmlns:r="http://schemas.openxmlformats.org/officeDocument/2006/relationships">
  <sheetPr codeName="Sheet6"/>
  <dimension ref="A1:H80"/>
  <sheetViews>
    <sheetView workbookViewId="0">
      <pane xSplit="3" ySplit="1" topLeftCell="D50" activePane="bottomRight" state="frozen"/>
      <selection pane="topRight" activeCell="D1" sqref="D1"/>
      <selection pane="bottomLeft" activeCell="A2" sqref="A2"/>
      <selection pane="bottomRight" activeCell="E12" sqref="E12"/>
    </sheetView>
  </sheetViews>
  <sheetFormatPr defaultColWidth="9" defaultRowHeight="12"/>
  <cols>
    <col min="1" max="1" width="9.375" style="158" bestFit="1" customWidth="1"/>
    <col min="2" max="2" width="37.125" style="11" bestFit="1" customWidth="1"/>
    <col min="3" max="3" width="9" style="55"/>
    <col min="4" max="4" width="41.875" style="55" customWidth="1"/>
    <col min="5" max="6" width="16.125" style="6" bestFit="1" customWidth="1"/>
    <col min="7" max="7" width="16.125" style="55" bestFit="1" customWidth="1"/>
    <col min="8" max="16384" width="9" style="55"/>
  </cols>
  <sheetData>
    <row r="1" spans="1:8" s="56" customFormat="1">
      <c r="A1" s="158" t="s">
        <v>303</v>
      </c>
      <c r="B1" s="17" t="s">
        <v>304</v>
      </c>
      <c r="C1" s="56" t="s">
        <v>305</v>
      </c>
      <c r="D1" s="56" t="s">
        <v>306</v>
      </c>
      <c r="E1" s="18" t="s">
        <v>83</v>
      </c>
      <c r="F1" s="18" t="s">
        <v>84</v>
      </c>
    </row>
    <row r="2" spans="1:8">
      <c r="C2" s="56"/>
      <c r="G2" s="57"/>
    </row>
    <row r="3" spans="1:8" ht="13.5">
      <c r="A3" s="158" t="s">
        <v>818</v>
      </c>
      <c r="B3" s="11" t="s">
        <v>524</v>
      </c>
      <c r="C3" s="96" t="s">
        <v>202</v>
      </c>
      <c r="D3" s="55" t="str">
        <f>IF(C3=0,"",VLOOKUP(C3,科目表!A:B,2,FALSE))</f>
        <v xml:space="preserve">  实收资本</v>
      </c>
      <c r="E3" s="6">
        <v>12500000</v>
      </c>
      <c r="G3" s="57"/>
      <c r="H3" s="110"/>
    </row>
    <row r="4" spans="1:8" ht="13.5">
      <c r="C4" s="96" t="s">
        <v>203</v>
      </c>
      <c r="D4" s="55" t="str">
        <f>IF(C4=0,"",VLOOKUP(C4,科目表!A:B,2,FALSE))</f>
        <v xml:space="preserve">  资本公积</v>
      </c>
      <c r="G4" s="57"/>
      <c r="H4" s="110"/>
    </row>
    <row r="5" spans="1:8" ht="13.5">
      <c r="C5" s="96" t="s">
        <v>205</v>
      </c>
      <c r="D5" s="55" t="str">
        <f>IF(C5=0,"",VLOOKUP(C5,科目表!A:B,2,FALSE))</f>
        <v xml:space="preserve">  盈余公积</v>
      </c>
      <c r="E5" s="6">
        <v>13152044.720000001</v>
      </c>
      <c r="G5" s="20"/>
      <c r="H5" s="110"/>
    </row>
    <row r="6" spans="1:8" ht="13.5">
      <c r="C6" s="96" t="s">
        <v>534</v>
      </c>
      <c r="D6" s="55" t="str">
        <f>IF(C6=0,"",VLOOKUP(C6,科目表!A:B,2,FALSE))</f>
        <v xml:space="preserve">  其中：法定盈余公积</v>
      </c>
      <c r="E6" s="6">
        <v>6366129.2300000004</v>
      </c>
      <c r="G6" s="57"/>
      <c r="H6" s="110"/>
    </row>
    <row r="7" spans="1:8" ht="13.5">
      <c r="C7" s="96" t="s">
        <v>535</v>
      </c>
      <c r="D7" s="55" t="str">
        <f>IF(C7=0,"",VLOOKUP(C7,科目表!A:B,2,FALSE))</f>
        <v xml:space="preserve">        任意盈余公积</v>
      </c>
      <c r="E7" s="6">
        <v>6785915.4900000002</v>
      </c>
      <c r="G7" s="57"/>
      <c r="H7" s="110"/>
    </row>
    <row r="8" spans="1:8" ht="13.5">
      <c r="C8" s="96" t="s">
        <v>208</v>
      </c>
      <c r="D8" s="55" t="str">
        <f>IF(C8=0,"",VLOOKUP(C8,科目表!A:B,2,FALSE))</f>
        <v xml:space="preserve">  未分配利润</v>
      </c>
      <c r="E8" s="6">
        <v>12337156.439999999</v>
      </c>
      <c r="G8" s="57"/>
      <c r="H8" s="110"/>
    </row>
    <row r="9" spans="1:8" ht="13.5">
      <c r="C9" s="96" t="s">
        <v>525</v>
      </c>
      <c r="D9" s="55" t="str">
        <f>IF(C9=0,"",VLOOKUP(C9,科目表!A:B,2,FALSE))</f>
        <v xml:space="preserve">  长期股权投资</v>
      </c>
      <c r="F9" s="6">
        <v>7750000</v>
      </c>
      <c r="G9" s="57"/>
      <c r="H9" s="110"/>
    </row>
    <row r="10" spans="1:8" ht="13.5">
      <c r="C10" s="96" t="s">
        <v>526</v>
      </c>
      <c r="D10" s="55" t="str">
        <f>IF(C10=0,"",VLOOKUP(C10,科目表!A:B,2,FALSE))</f>
        <v xml:space="preserve">  少数股东权益</v>
      </c>
      <c r="F10" s="6">
        <v>14435896.439999999</v>
      </c>
      <c r="G10" s="57"/>
      <c r="H10" s="110"/>
    </row>
    <row r="11" spans="1:8" ht="13.5">
      <c r="C11" s="56"/>
      <c r="D11" s="55" t="str">
        <f>IF(C11=0,"",VLOOKUP(C11,科目表!A:B,2,FALSE))</f>
        <v/>
      </c>
      <c r="E11" s="58"/>
      <c r="F11" s="58"/>
      <c r="G11" s="57"/>
      <c r="H11" s="110"/>
    </row>
    <row r="12" spans="1:8" ht="13.5">
      <c r="B12" s="59" t="s">
        <v>527</v>
      </c>
      <c r="C12" s="52" t="s">
        <v>528</v>
      </c>
      <c r="D12" s="55" t="str">
        <f>IF(C12=0,"",VLOOKUP(C12,科目表!A:B,2,FALSE))</f>
        <v>投资收益</v>
      </c>
      <c r="E12" s="6">
        <v>5456000</v>
      </c>
      <c r="G12" s="57"/>
      <c r="H12" s="110"/>
    </row>
    <row r="13" spans="1:8" ht="13.5">
      <c r="B13" s="59"/>
      <c r="C13" s="56" t="s">
        <v>529</v>
      </c>
      <c r="D13" s="55" t="str">
        <f>IF(C13=0,"",VLOOKUP(C13,科目表!A:B,2,FALSE))</f>
        <v>少数股东损益</v>
      </c>
      <c r="E13" s="6">
        <v>3612402.5</v>
      </c>
      <c r="G13" s="57"/>
      <c r="H13" s="110"/>
    </row>
    <row r="14" spans="1:8" ht="13.5">
      <c r="B14" s="59"/>
      <c r="C14" s="56" t="s">
        <v>530</v>
      </c>
      <c r="D14" s="55" t="str">
        <f>IF(C14=0,"",VLOOKUP(C14,科目表!A:B,2,FALSE))</f>
        <v>年初未分配利润</v>
      </c>
      <c r="E14" s="6">
        <v>-3209723.8</v>
      </c>
      <c r="G14" s="57"/>
      <c r="H14" s="110"/>
    </row>
    <row r="15" spans="1:8" ht="13.5">
      <c r="B15" s="59"/>
      <c r="C15" s="56" t="s">
        <v>239</v>
      </c>
      <c r="D15" s="55" t="str">
        <f>IF(C15=0,"",VLOOKUP(C15,科目表!A:B,2,FALSE))</f>
        <v>其他转入</v>
      </c>
      <c r="E15" s="127"/>
      <c r="G15" s="57"/>
      <c r="H15" s="110"/>
    </row>
    <row r="16" spans="1:8" ht="13.5">
      <c r="B16" s="59"/>
      <c r="C16" s="56" t="s">
        <v>531</v>
      </c>
      <c r="D16" s="55" t="str">
        <f>IF(C16=0,"",VLOOKUP(C16,科目表!A:B,2,FALSE))</f>
        <v>提取法定盈余公积金</v>
      </c>
      <c r="F16" s="6">
        <v>524826.98</v>
      </c>
      <c r="G16" s="57"/>
      <c r="H16" s="110"/>
    </row>
    <row r="17" spans="1:8" ht="13.5">
      <c r="B17" s="59"/>
      <c r="C17" s="56" t="s">
        <v>532</v>
      </c>
      <c r="D17" s="55" t="str">
        <f>IF(C17=0,"",VLOOKUP(C17,科目表!A:B,2,FALSE))</f>
        <v>应分配普通股股利</v>
      </c>
      <c r="F17" s="6">
        <v>8800000</v>
      </c>
      <c r="G17" s="57"/>
      <c r="H17" s="110"/>
    </row>
    <row r="18" spans="1:8">
      <c r="B18" s="59"/>
      <c r="C18" s="56" t="s">
        <v>248</v>
      </c>
      <c r="D18" s="55" t="str">
        <f>IF(C18=0,"",VLOOKUP(C18,科目表!A:B,2,FALSE))</f>
        <v>应转增股本普通股股利</v>
      </c>
      <c r="G18" s="57"/>
    </row>
    <row r="19" spans="1:8">
      <c r="B19" s="59"/>
      <c r="C19" s="96" t="s">
        <v>208</v>
      </c>
      <c r="D19" s="55" t="str">
        <f>IF(C19=0,"",VLOOKUP(C19,科目表!A:B,2,FALSE))</f>
        <v xml:space="preserve">  未分配利润</v>
      </c>
      <c r="F19" s="6">
        <v>12337156.439999999</v>
      </c>
      <c r="G19" s="57"/>
    </row>
    <row r="20" spans="1:8">
      <c r="B20" s="59"/>
      <c r="C20" s="56"/>
      <c r="D20" s="55" t="str">
        <f>IF(C20=0,"",VLOOKUP(C20,科目表!A:B,2,FALSE))</f>
        <v/>
      </c>
      <c r="G20" s="57"/>
    </row>
    <row r="21" spans="1:8">
      <c r="C21" s="56"/>
      <c r="D21" s="55" t="str">
        <f>IF(C21=0,"",VLOOKUP(C21,科目表!A:B,2,FALSE))</f>
        <v/>
      </c>
      <c r="E21" s="58">
        <f>SUM(E3:E5,E8:E10,E12:E19)</f>
        <v>43847879.859999999</v>
      </c>
      <c r="F21" s="58">
        <f>SUM(F3:F10,F12:F19)</f>
        <v>43847879.859999999</v>
      </c>
      <c r="G21" s="57" t="str">
        <f>IF(ABS(INT((E21-F21)*100+0.5))&lt;&gt;0,"分录不平"," ")</f>
        <v/>
      </c>
    </row>
    <row r="22" spans="1:8">
      <c r="C22" s="56"/>
      <c r="D22" s="55" t="str">
        <f>IF(C22=0,"",VLOOKUP(C22,科目表!A:B,2,FALSE))</f>
        <v/>
      </c>
      <c r="G22" s="20">
        <f>E21-F21</f>
        <v>0</v>
      </c>
    </row>
    <row r="23" spans="1:8" ht="13.5">
      <c r="A23" s="158" t="s">
        <v>819</v>
      </c>
      <c r="B23" s="11" t="s">
        <v>524</v>
      </c>
      <c r="C23" s="96" t="s">
        <v>202</v>
      </c>
      <c r="D23" s="55" t="str">
        <f>IF(C23=0,"",VLOOKUP(C23,科目表!A:B,2,FALSE))</f>
        <v xml:space="preserve">  实收资本</v>
      </c>
      <c r="E23" s="6">
        <v>695211.94</v>
      </c>
      <c r="G23" s="57"/>
      <c r="H23" s="110"/>
    </row>
    <row r="24" spans="1:8" ht="13.5">
      <c r="C24" s="96" t="s">
        <v>203</v>
      </c>
      <c r="D24" s="55" t="str">
        <f>IF(C24=0,"",VLOOKUP(C24,科目表!A:B,2,FALSE))</f>
        <v xml:space="preserve">  资本公积</v>
      </c>
      <c r="G24" s="57"/>
      <c r="H24" s="110"/>
    </row>
    <row r="25" spans="1:8" ht="13.5">
      <c r="C25" s="96" t="s">
        <v>205</v>
      </c>
      <c r="D25" s="55" t="str">
        <f>IF(C25=0,"",VLOOKUP(C25,科目表!A:B,2,FALSE))</f>
        <v xml:space="preserve">  盈余公积</v>
      </c>
      <c r="G25" s="20"/>
      <c r="H25" s="110"/>
    </row>
    <row r="26" spans="1:8" ht="13.5">
      <c r="C26" s="96" t="s">
        <v>534</v>
      </c>
      <c r="D26" s="55" t="str">
        <f>IF(C26=0,"",VLOOKUP(C26,科目表!A:B,2,FALSE))</f>
        <v xml:space="preserve">  其中：法定盈余公积</v>
      </c>
      <c r="G26" s="57"/>
      <c r="H26" s="110"/>
    </row>
    <row r="27" spans="1:8" ht="13.5">
      <c r="C27" s="96" t="s">
        <v>535</v>
      </c>
      <c r="D27" s="55" t="str">
        <f>IF(C27=0,"",VLOOKUP(C27,科目表!A:B,2,FALSE))</f>
        <v xml:space="preserve">        任意盈余公积</v>
      </c>
      <c r="G27" s="57"/>
      <c r="H27" s="110"/>
    </row>
    <row r="28" spans="1:8" ht="13.5">
      <c r="C28" s="96" t="s">
        <v>208</v>
      </c>
      <c r="D28" s="55" t="str">
        <f>IF(C28=0,"",VLOOKUP(C28,科目表!A:B,2,FALSE))</f>
        <v xml:space="preserve">  未分配利润</v>
      </c>
      <c r="E28" s="6">
        <v>7042061.7400000002</v>
      </c>
      <c r="G28" s="57"/>
      <c r="H28" s="110"/>
    </row>
    <row r="29" spans="1:8" ht="13.5">
      <c r="C29" s="96" t="s">
        <v>525</v>
      </c>
      <c r="D29" s="55" t="str">
        <f>IF(C29=0,"",VLOOKUP(C29,科目表!A:B,2,FALSE))</f>
        <v xml:space="preserve">  长期股权投资</v>
      </c>
      <c r="F29" s="6">
        <v>695211.94</v>
      </c>
      <c r="G29" s="57"/>
      <c r="H29" s="110"/>
    </row>
    <row r="30" spans="1:8" ht="13.5">
      <c r="C30" s="96" t="s">
        <v>209</v>
      </c>
      <c r="D30" s="55" t="str">
        <f>IF(C30=0,"",VLOOKUP(C30,科目表!A:B,2,FALSE))</f>
        <v xml:space="preserve">  少数股东权益</v>
      </c>
      <c r="G30" s="57"/>
      <c r="H30" s="110"/>
    </row>
    <row r="31" spans="1:8" ht="13.5">
      <c r="C31" s="56"/>
      <c r="D31" s="55" t="str">
        <f>IF(C31=0,"",VLOOKUP(C31,科目表!A:B,2,FALSE))</f>
        <v/>
      </c>
      <c r="E31" s="58"/>
      <c r="F31" s="58"/>
      <c r="G31" s="57"/>
      <c r="H31" s="110"/>
    </row>
    <row r="32" spans="1:8" ht="13.5">
      <c r="B32" s="59" t="s">
        <v>527</v>
      </c>
      <c r="C32" s="52" t="s">
        <v>528</v>
      </c>
      <c r="D32" s="55" t="str">
        <f>IF(C32=0,"",VLOOKUP(C32,科目表!A:B,2,FALSE))</f>
        <v>投资收益</v>
      </c>
      <c r="G32" s="57"/>
      <c r="H32" s="110"/>
    </row>
    <row r="33" spans="1:8" ht="13.5">
      <c r="B33" s="59"/>
      <c r="C33" s="56" t="s">
        <v>237</v>
      </c>
      <c r="D33" s="55" t="str">
        <f>IF(C33=0,"",VLOOKUP(C33,科目表!A:B,2,FALSE))</f>
        <v>少数股东损益</v>
      </c>
      <c r="G33" s="57"/>
      <c r="H33" s="110"/>
    </row>
    <row r="34" spans="1:8" ht="13.5">
      <c r="B34" s="59"/>
      <c r="C34" s="56" t="s">
        <v>238</v>
      </c>
      <c r="D34" s="55" t="str">
        <f>IF(C34=0,"",VLOOKUP(C34,科目表!A:B,2,FALSE))</f>
        <v>年初未分配利润</v>
      </c>
      <c r="E34" s="6">
        <f>F41-SUM(E23:E25,E28:E33,E35:E39)</f>
        <v>0</v>
      </c>
      <c r="G34" s="57"/>
      <c r="H34" s="110"/>
    </row>
    <row r="35" spans="1:8" ht="13.5">
      <c r="B35" s="59"/>
      <c r="C35" s="56" t="s">
        <v>239</v>
      </c>
      <c r="D35" s="55" t="str">
        <f>IF(C35=0,"",VLOOKUP(C35,科目表!A:B,2,FALSE))</f>
        <v>其他转入</v>
      </c>
      <c r="E35" s="127"/>
      <c r="G35" s="57"/>
      <c r="H35" s="110"/>
    </row>
    <row r="36" spans="1:8" ht="13.5">
      <c r="B36" s="59"/>
      <c r="C36" s="56" t="s">
        <v>531</v>
      </c>
      <c r="D36" s="55" t="str">
        <f>IF(C36=0,"",VLOOKUP(C36,科目表!A:B,2,FALSE))</f>
        <v>提取法定盈余公积金</v>
      </c>
      <c r="G36" s="57"/>
      <c r="H36" s="110"/>
    </row>
    <row r="37" spans="1:8" ht="13.5">
      <c r="B37" s="59"/>
      <c r="C37" s="56" t="s">
        <v>532</v>
      </c>
      <c r="D37" s="55" t="str">
        <f>IF(C37=0,"",VLOOKUP(C37,科目表!A:B,2,FALSE))</f>
        <v>应分配普通股股利</v>
      </c>
      <c r="G37" s="57"/>
      <c r="H37" s="110"/>
    </row>
    <row r="38" spans="1:8">
      <c r="B38" s="59"/>
      <c r="C38" s="56" t="s">
        <v>248</v>
      </c>
      <c r="D38" s="55" t="str">
        <f>IF(C38=0,"",VLOOKUP(C38,科目表!A:B,2,FALSE))</f>
        <v>应转增股本普通股股利</v>
      </c>
      <c r="G38" s="57"/>
    </row>
    <row r="39" spans="1:8">
      <c r="B39" s="59"/>
      <c r="C39" s="96" t="s">
        <v>208</v>
      </c>
      <c r="D39" s="55" t="str">
        <f>IF(C39=0,"",VLOOKUP(C39,科目表!A:B,2,FALSE))</f>
        <v xml:space="preserve">  未分配利润</v>
      </c>
      <c r="F39" s="6">
        <v>7042061.7400000002</v>
      </c>
      <c r="G39" s="57"/>
    </row>
    <row r="40" spans="1:8">
      <c r="B40" s="59"/>
      <c r="C40" s="56"/>
      <c r="D40" s="55" t="str">
        <f>IF(C40=0,"",VLOOKUP(C40,科目表!A:B,2,FALSE))</f>
        <v/>
      </c>
      <c r="G40" s="57"/>
    </row>
    <row r="41" spans="1:8">
      <c r="C41" s="56"/>
      <c r="D41" s="55" t="str">
        <f>IF(C41=0,"",VLOOKUP(C41,科目表!A:B,2,FALSE))</f>
        <v/>
      </c>
      <c r="E41" s="58">
        <f>SUM(E23:E25,E28:E30,E32:E39)</f>
        <v>7737273.6799999997</v>
      </c>
      <c r="F41" s="58">
        <f>SUM(F23:F30,F32:F39)</f>
        <v>7737273.6799999997</v>
      </c>
      <c r="G41" s="57" t="str">
        <f>IF(ABS(INT((E41-F41)*100+0.5))&lt;&gt;0,"分录不平"," ")</f>
        <v/>
      </c>
    </row>
    <row r="42" spans="1:8">
      <c r="C42" s="56"/>
      <c r="D42" s="55" t="str">
        <f>IF(C42=0,"",VLOOKUP(C42,科目表!A:B,2,FALSE))</f>
        <v/>
      </c>
      <c r="G42" s="20">
        <f>E41-F41</f>
        <v>0</v>
      </c>
    </row>
    <row r="43" spans="1:8">
      <c r="B43" s="11" t="s">
        <v>820</v>
      </c>
      <c r="C43" s="56" t="s">
        <v>745</v>
      </c>
      <c r="D43" s="55" t="str">
        <f>IF(C43=0,"",VLOOKUP(C43,科目表!A:B,2,FALSE))</f>
        <v xml:space="preserve">  应收股利</v>
      </c>
      <c r="G43" s="20"/>
    </row>
    <row r="44" spans="1:8">
      <c r="C44" s="56" t="s">
        <v>735</v>
      </c>
      <c r="D44" s="55" t="str">
        <f>IF(C44=0,"",VLOOKUP(C44,科目表!A:B,2,FALSE))</f>
        <v xml:space="preserve">  应付股利</v>
      </c>
      <c r="G44" s="20"/>
    </row>
    <row r="45" spans="1:8">
      <c r="C45" s="56" t="s">
        <v>744</v>
      </c>
      <c r="D45" s="55" t="str">
        <f>IF(C45=0,"",VLOOKUP(C45,科目表!A:B,2,FALSE))</f>
        <v xml:space="preserve">  其他应付款</v>
      </c>
      <c r="G45" s="20"/>
    </row>
    <row r="46" spans="1:8">
      <c r="C46" s="56"/>
      <c r="G46" s="20"/>
    </row>
    <row r="47" spans="1:8">
      <c r="A47" s="159"/>
      <c r="B47" s="129" t="s">
        <v>722</v>
      </c>
      <c r="C47" s="130" t="s">
        <v>720</v>
      </c>
      <c r="D47" s="55" t="str">
        <f>IF(C47=0,"",VLOOKUP(C47,科目表!A:B,2,FALSE))</f>
        <v xml:space="preserve">    取得投资收益收到的现金</v>
      </c>
      <c r="F47" s="6">
        <v>5456000</v>
      </c>
    </row>
    <row r="48" spans="1:8">
      <c r="C48" s="130" t="s">
        <v>721</v>
      </c>
      <c r="D48" s="55" t="str">
        <f>IF(C48=0,"",VLOOKUP(C48,科目表!A:B,2,FALSE))</f>
        <v xml:space="preserve">    分配股利、利润或偿付利息支付的现金</v>
      </c>
      <c r="E48" s="6">
        <v>5456000</v>
      </c>
    </row>
    <row r="49" spans="1:6">
      <c r="C49" s="130" t="s">
        <v>723</v>
      </c>
      <c r="D49" s="55" t="str">
        <f>IF(C49=0,"",VLOOKUP(C49,科目表!A:B,2,FALSE))</f>
        <v xml:space="preserve">       投资损失（收益以“－”号填列）</v>
      </c>
      <c r="F49" s="6">
        <v>5456000</v>
      </c>
    </row>
    <row r="50" spans="1:6">
      <c r="D50" s="55" t="str">
        <f>IF(C50=0,"",VLOOKUP(C50,科目表!A:B,2,FALSE))</f>
        <v/>
      </c>
    </row>
    <row r="51" spans="1:6" s="160" customFormat="1">
      <c r="A51" s="163" t="s">
        <v>830</v>
      </c>
      <c r="B51" s="166" t="s">
        <v>824</v>
      </c>
      <c r="C51" s="165" t="s">
        <v>212</v>
      </c>
      <c r="D51" s="160" t="str">
        <f>IF(C51=0,"",VLOOKUP(C51,科目表!A:B,2,FALSE))</f>
        <v>其他业务收入</v>
      </c>
      <c r="E51" s="161">
        <v>10000</v>
      </c>
      <c r="F51" s="161"/>
    </row>
    <row r="52" spans="1:6" s="160" customFormat="1">
      <c r="A52" s="163"/>
      <c r="B52" s="166"/>
      <c r="C52" s="165" t="s">
        <v>719</v>
      </c>
      <c r="D52" s="160" t="str">
        <f>IF(C52=0,"",VLOOKUP(C52,科目表!A:B,2,FALSE))</f>
        <v>财务费用</v>
      </c>
      <c r="E52" s="161"/>
      <c r="F52" s="161">
        <v>10000</v>
      </c>
    </row>
    <row r="53" spans="1:6" s="160" customFormat="1">
      <c r="A53" s="163"/>
      <c r="B53" s="166"/>
      <c r="C53" s="167" t="s">
        <v>721</v>
      </c>
      <c r="D53" s="160" t="str">
        <f>IF(C53=0,"",VLOOKUP(C53,科目表!A:B,2,FALSE))</f>
        <v xml:space="preserve">    分配股利、利润或偿付利息支付的现金</v>
      </c>
      <c r="E53" s="161">
        <v>10000</v>
      </c>
      <c r="F53" s="161"/>
    </row>
    <row r="54" spans="1:6" s="160" customFormat="1">
      <c r="A54" s="163"/>
      <c r="B54" s="166"/>
      <c r="C54" s="167" t="s">
        <v>725</v>
      </c>
      <c r="D54" s="160" t="str">
        <f>IF(C54=0,"",VLOOKUP(C54,科目表!A:B,2,FALSE))</f>
        <v xml:space="preserve">    收到的其他与经营活动有关的现金</v>
      </c>
      <c r="E54" s="161"/>
      <c r="F54" s="161">
        <v>10000</v>
      </c>
    </row>
    <row r="55" spans="1:6" s="160" customFormat="1">
      <c r="A55" s="163"/>
      <c r="B55" s="166"/>
      <c r="C55" s="167" t="s">
        <v>724</v>
      </c>
      <c r="D55" s="160" t="str">
        <f>IF(C55=0,"",VLOOKUP(C55,科目表!A:B,2,FALSE))</f>
        <v xml:space="preserve">       财务费用（收益以“－”号填列）</v>
      </c>
      <c r="E55" s="161">
        <v>10000</v>
      </c>
      <c r="F55" s="161"/>
    </row>
    <row r="56" spans="1:6" s="160" customFormat="1">
      <c r="A56" s="163"/>
      <c r="B56" s="166"/>
      <c r="C56" s="167"/>
      <c r="E56" s="161"/>
      <c r="F56" s="161"/>
    </row>
    <row r="57" spans="1:6" s="160" customFormat="1">
      <c r="A57" s="163"/>
      <c r="B57" s="164" t="s">
        <v>825</v>
      </c>
      <c r="C57" s="165" t="s">
        <v>823</v>
      </c>
      <c r="D57" s="160" t="s">
        <v>834</v>
      </c>
      <c r="E57" s="161">
        <v>1000000</v>
      </c>
      <c r="F57" s="161"/>
    </row>
    <row r="58" spans="1:6" s="160" customFormat="1">
      <c r="A58" s="163"/>
      <c r="B58" s="164"/>
      <c r="C58" s="165" t="s">
        <v>822</v>
      </c>
      <c r="D58" s="160" t="s">
        <v>835</v>
      </c>
      <c r="E58" s="161"/>
      <c r="F58" s="161">
        <v>1000000</v>
      </c>
    </row>
    <row r="59" spans="1:6" s="160" customFormat="1">
      <c r="A59" s="163"/>
      <c r="B59" s="164" t="s">
        <v>826</v>
      </c>
      <c r="C59" s="165" t="s">
        <v>821</v>
      </c>
      <c r="D59" s="160" t="s">
        <v>836</v>
      </c>
      <c r="E59" s="161">
        <v>1000000</v>
      </c>
      <c r="F59" s="161"/>
    </row>
    <row r="60" spans="1:6" s="160" customFormat="1">
      <c r="A60" s="163"/>
      <c r="B60" s="164"/>
      <c r="C60" s="165" t="s">
        <v>747</v>
      </c>
      <c r="D60" s="160" t="s">
        <v>837</v>
      </c>
      <c r="E60" s="161"/>
      <c r="F60" s="161">
        <v>1000000</v>
      </c>
    </row>
    <row r="61" spans="1:6" s="160" customFormat="1">
      <c r="A61" s="163"/>
      <c r="B61" s="164"/>
      <c r="C61" s="165"/>
      <c r="E61" s="161"/>
      <c r="F61" s="161"/>
    </row>
    <row r="62" spans="1:6" s="160" customFormat="1">
      <c r="A62" s="163" t="s">
        <v>831</v>
      </c>
      <c r="B62" s="166" t="s">
        <v>824</v>
      </c>
      <c r="C62" s="165" t="s">
        <v>212</v>
      </c>
      <c r="D62" s="160" t="str">
        <f>IF(C62=0,"",VLOOKUP(C62,科目表!A:B,2,FALSE))</f>
        <v>其他业务收入</v>
      </c>
      <c r="E62" s="161">
        <v>25000</v>
      </c>
      <c r="F62" s="161"/>
    </row>
    <row r="63" spans="1:6" s="160" customFormat="1">
      <c r="A63" s="163"/>
      <c r="B63" s="166"/>
      <c r="C63" s="165" t="s">
        <v>719</v>
      </c>
      <c r="D63" s="160" t="str">
        <f>IF(C63=0,"",VLOOKUP(C63,科目表!A:B,2,FALSE))</f>
        <v>财务费用</v>
      </c>
      <c r="E63" s="161"/>
      <c r="F63" s="161">
        <v>25000</v>
      </c>
    </row>
    <row r="64" spans="1:6" s="160" customFormat="1">
      <c r="A64" s="163"/>
      <c r="B64" s="166"/>
      <c r="C64" s="167" t="s">
        <v>721</v>
      </c>
      <c r="D64" s="160" t="str">
        <f>IF(C64=0,"",VLOOKUP(C64,科目表!A:B,2,FALSE))</f>
        <v xml:space="preserve">    分配股利、利润或偿付利息支付的现金</v>
      </c>
      <c r="E64" s="161">
        <v>25000</v>
      </c>
      <c r="F64" s="161"/>
    </row>
    <row r="65" spans="1:7" s="160" customFormat="1">
      <c r="A65" s="163"/>
      <c r="B65" s="166"/>
      <c r="C65" s="167" t="s">
        <v>725</v>
      </c>
      <c r="D65" s="160" t="str">
        <f>IF(C65=0,"",VLOOKUP(C65,科目表!A:B,2,FALSE))</f>
        <v xml:space="preserve">    收到的其他与经营活动有关的现金</v>
      </c>
      <c r="E65" s="161"/>
      <c r="F65" s="161">
        <v>25000</v>
      </c>
    </row>
    <row r="66" spans="1:7" s="160" customFormat="1">
      <c r="A66" s="163"/>
      <c r="B66" s="166"/>
      <c r="C66" s="167" t="s">
        <v>724</v>
      </c>
      <c r="D66" s="160" t="str">
        <f>IF(C66=0,"",VLOOKUP(C66,科目表!A:B,2,FALSE))</f>
        <v xml:space="preserve">       财务费用（收益以“－”号填列）</v>
      </c>
      <c r="E66" s="161">
        <v>25000</v>
      </c>
      <c r="F66" s="161"/>
    </row>
    <row r="67" spans="1:7" s="160" customFormat="1">
      <c r="A67" s="163"/>
      <c r="B67" s="166"/>
      <c r="C67" s="167"/>
      <c r="E67" s="161"/>
      <c r="F67" s="161"/>
    </row>
    <row r="68" spans="1:7" s="160" customFormat="1">
      <c r="A68" s="163"/>
      <c r="B68" s="164" t="s">
        <v>825</v>
      </c>
      <c r="C68" s="165" t="s">
        <v>823</v>
      </c>
      <c r="D68" s="160" t="s">
        <v>834</v>
      </c>
      <c r="E68" s="161">
        <v>5000000</v>
      </c>
      <c r="F68" s="161"/>
    </row>
    <row r="69" spans="1:7" s="160" customFormat="1">
      <c r="A69" s="163"/>
      <c r="B69" s="164"/>
      <c r="C69" s="165" t="s">
        <v>822</v>
      </c>
      <c r="D69" s="160" t="s">
        <v>835</v>
      </c>
      <c r="E69" s="161"/>
      <c r="F69" s="161">
        <v>5000000</v>
      </c>
    </row>
    <row r="70" spans="1:7" s="160" customFormat="1">
      <c r="A70" s="163"/>
      <c r="B70" s="164"/>
      <c r="C70" s="165" t="s">
        <v>829</v>
      </c>
      <c r="D70" s="160" t="s">
        <v>838</v>
      </c>
      <c r="E70" s="161"/>
      <c r="F70" s="161">
        <v>5000000</v>
      </c>
    </row>
    <row r="71" spans="1:7" s="160" customFormat="1">
      <c r="A71" s="163"/>
      <c r="B71" s="164" t="s">
        <v>828</v>
      </c>
      <c r="C71" s="160" t="s">
        <v>732</v>
      </c>
      <c r="D71" s="160" t="s">
        <v>839</v>
      </c>
      <c r="E71" s="161">
        <v>5000000</v>
      </c>
      <c r="F71" s="161"/>
      <c r="G71" s="162"/>
    </row>
    <row r="72" spans="1:7" s="160" customFormat="1">
      <c r="A72" s="163"/>
      <c r="B72" s="164"/>
      <c r="C72" s="160" t="s">
        <v>827</v>
      </c>
      <c r="D72" s="160" t="s">
        <v>840</v>
      </c>
      <c r="E72" s="161"/>
      <c r="F72" s="161">
        <v>5000000</v>
      </c>
      <c r="G72" s="162"/>
    </row>
    <row r="73" spans="1:7" s="160" customFormat="1">
      <c r="A73" s="163"/>
      <c r="B73" s="164"/>
      <c r="C73" s="165"/>
      <c r="E73" s="161"/>
      <c r="F73" s="161"/>
    </row>
    <row r="74" spans="1:7" s="160" customFormat="1">
      <c r="A74" s="163" t="s">
        <v>832</v>
      </c>
      <c r="B74" s="224" t="s">
        <v>841</v>
      </c>
      <c r="C74" s="165" t="s">
        <v>212</v>
      </c>
      <c r="D74" s="160" t="str">
        <f>IF(C74=0,"",VLOOKUP(C74,科目表!A:B,2,FALSE))</f>
        <v>其他业务收入</v>
      </c>
      <c r="E74" s="161">
        <v>100000</v>
      </c>
      <c r="F74" s="161"/>
    </row>
    <row r="75" spans="1:7" s="160" customFormat="1">
      <c r="A75" s="163"/>
      <c r="B75" s="164"/>
      <c r="C75" s="165" t="s">
        <v>218</v>
      </c>
      <c r="D75" s="160" t="str">
        <f>IF(C75=0,"",VLOOKUP(C75,科目表!A:B,2,FALSE))</f>
        <v>管理费用</v>
      </c>
      <c r="E75" s="161"/>
      <c r="F75" s="161">
        <v>100000</v>
      </c>
    </row>
    <row r="76" spans="1:7" s="160" customFormat="1">
      <c r="A76" s="163"/>
      <c r="B76" s="164"/>
      <c r="C76" s="165" t="s">
        <v>833</v>
      </c>
      <c r="D76" s="160" t="str">
        <f>IF(C76=0,"",VLOOKUP(C76,科目表!A:B,2,FALSE))</f>
        <v xml:space="preserve">    支付的其他与经营活动有关的现金</v>
      </c>
      <c r="E76" s="161">
        <v>100000</v>
      </c>
      <c r="F76" s="161"/>
    </row>
    <row r="77" spans="1:7" s="160" customFormat="1">
      <c r="A77" s="163"/>
      <c r="B77" s="164"/>
      <c r="C77" s="165" t="s">
        <v>725</v>
      </c>
      <c r="D77" s="160" t="str">
        <f>IF(C77=0,"",VLOOKUP(C77,科目表!A:B,2,FALSE))</f>
        <v xml:space="preserve">    收到的其他与经营活动有关的现金</v>
      </c>
      <c r="E77" s="161"/>
      <c r="F77" s="161">
        <v>100000</v>
      </c>
    </row>
    <row r="78" spans="1:7" s="160" customFormat="1">
      <c r="A78" s="163"/>
      <c r="B78" s="164"/>
      <c r="C78" s="165"/>
      <c r="E78" s="161"/>
      <c r="F78" s="161"/>
    </row>
    <row r="79" spans="1:7" s="160" customFormat="1">
      <c r="A79" s="163"/>
      <c r="B79" s="166"/>
      <c r="E79" s="161"/>
      <c r="F79" s="161"/>
    </row>
    <row r="80" spans="1:7">
      <c r="E80" s="60"/>
      <c r="F80" s="60"/>
    </row>
  </sheetData>
  <phoneticPr fontId="3" type="noConversion"/>
  <pageMargins left="0.74803149606299213" right="0.74803149606299213" top="0.98425196850393704" bottom="0.98425196850393704" header="0.51181102362204722" footer="0.51181102362204722"/>
  <pageSetup paperSize="9" scale="90" orientation="landscape" r:id="rId1"/>
  <headerFooter alignWithMargins="0"/>
</worksheet>
</file>

<file path=xl/worksheets/sheet8.xml><?xml version="1.0" encoding="utf-8"?>
<worksheet xmlns="http://schemas.openxmlformats.org/spreadsheetml/2006/main" xmlns:r="http://schemas.openxmlformats.org/officeDocument/2006/relationships">
  <sheetPr codeName="Sheet9"/>
  <dimension ref="A1:B163"/>
  <sheetViews>
    <sheetView workbookViewId="0">
      <selection activeCell="B7" sqref="B7"/>
    </sheetView>
  </sheetViews>
  <sheetFormatPr defaultColWidth="9" defaultRowHeight="14.25"/>
  <cols>
    <col min="1" max="1" width="8" style="108" bestFit="1" customWidth="1"/>
    <col min="2" max="2" width="65" style="108" bestFit="1" customWidth="1"/>
    <col min="3" max="16384" width="9" style="99"/>
  </cols>
  <sheetData>
    <row r="1" spans="1:2">
      <c r="A1" s="98" t="s">
        <v>156</v>
      </c>
      <c r="B1" s="98" t="s">
        <v>82</v>
      </c>
    </row>
    <row r="2" spans="1:2">
      <c r="A2" s="97"/>
      <c r="B2" s="100" t="s">
        <v>302</v>
      </c>
    </row>
    <row r="3" spans="1:2">
      <c r="A3" s="96"/>
      <c r="B3" s="101" t="s">
        <v>0</v>
      </c>
    </row>
    <row r="4" spans="1:2">
      <c r="A4" s="96" t="s">
        <v>157</v>
      </c>
      <c r="B4" s="101" t="s">
        <v>1</v>
      </c>
    </row>
    <row r="5" spans="1:2">
      <c r="A5" s="96" t="s">
        <v>158</v>
      </c>
      <c r="B5" s="101" t="s">
        <v>748</v>
      </c>
    </row>
    <row r="6" spans="1:2">
      <c r="A6" s="96" t="s">
        <v>159</v>
      </c>
      <c r="B6" s="101" t="s">
        <v>2</v>
      </c>
    </row>
    <row r="7" spans="1:2">
      <c r="A7" s="96" t="s">
        <v>344</v>
      </c>
      <c r="B7" s="101" t="s">
        <v>3</v>
      </c>
    </row>
    <row r="8" spans="1:2">
      <c r="A8" s="96" t="s">
        <v>161</v>
      </c>
      <c r="B8" s="101" t="s">
        <v>4</v>
      </c>
    </row>
    <row r="9" spans="1:2">
      <c r="A9" s="96" t="s">
        <v>162</v>
      </c>
      <c r="B9" s="101" t="s">
        <v>5</v>
      </c>
    </row>
    <row r="10" spans="1:2">
      <c r="A10" s="96" t="s">
        <v>163</v>
      </c>
      <c r="B10" s="101" t="s">
        <v>6</v>
      </c>
    </row>
    <row r="11" spans="1:2">
      <c r="A11" s="96" t="s">
        <v>345</v>
      </c>
      <c r="B11" s="101" t="s">
        <v>7</v>
      </c>
    </row>
    <row r="12" spans="1:2">
      <c r="A12" s="96" t="s">
        <v>165</v>
      </c>
      <c r="B12" s="101" t="s">
        <v>8</v>
      </c>
    </row>
    <row r="13" spans="1:2">
      <c r="A13" s="96" t="s">
        <v>166</v>
      </c>
      <c r="B13" s="101" t="s">
        <v>9</v>
      </c>
    </row>
    <row r="14" spans="1:2">
      <c r="A14" s="96" t="s">
        <v>749</v>
      </c>
      <c r="B14" s="101" t="s">
        <v>750</v>
      </c>
    </row>
    <row r="15" spans="1:2">
      <c r="A15" s="96" t="s">
        <v>167</v>
      </c>
      <c r="B15" s="101" t="s">
        <v>10</v>
      </c>
    </row>
    <row r="16" spans="1:2">
      <c r="A16" s="96" t="s">
        <v>168</v>
      </c>
      <c r="B16" s="101" t="s">
        <v>11</v>
      </c>
    </row>
    <row r="17" spans="1:2">
      <c r="A17" s="96" t="s">
        <v>169</v>
      </c>
      <c r="B17" s="101" t="s">
        <v>12</v>
      </c>
    </row>
    <row r="18" spans="1:2">
      <c r="A18" s="96" t="s">
        <v>170</v>
      </c>
      <c r="B18" s="101" t="s">
        <v>13</v>
      </c>
    </row>
    <row r="19" spans="1:2">
      <c r="A19" s="96" t="s">
        <v>171</v>
      </c>
      <c r="B19" s="101" t="s">
        <v>14</v>
      </c>
    </row>
    <row r="20" spans="1:2">
      <c r="A20" s="96" t="s">
        <v>172</v>
      </c>
      <c r="B20" s="101" t="s">
        <v>15</v>
      </c>
    </row>
    <row r="21" spans="1:2">
      <c r="A21" s="96" t="s">
        <v>173</v>
      </c>
      <c r="B21" s="102" t="s">
        <v>16</v>
      </c>
    </row>
    <row r="22" spans="1:2">
      <c r="A22" s="96" t="s">
        <v>174</v>
      </c>
      <c r="B22" s="103" t="s">
        <v>17</v>
      </c>
    </row>
    <row r="23" spans="1:2">
      <c r="A23" s="96" t="s">
        <v>175</v>
      </c>
      <c r="B23" s="103" t="s">
        <v>18</v>
      </c>
    </row>
    <row r="24" spans="1:2">
      <c r="A24" s="96" t="s">
        <v>176</v>
      </c>
      <c r="B24" s="101" t="s">
        <v>19</v>
      </c>
    </row>
    <row r="25" spans="1:2">
      <c r="A25" s="96" t="s">
        <v>177</v>
      </c>
      <c r="B25" s="101" t="s">
        <v>20</v>
      </c>
    </row>
    <row r="26" spans="1:2">
      <c r="A26" s="96" t="s">
        <v>178</v>
      </c>
      <c r="B26" s="101" t="s">
        <v>21</v>
      </c>
    </row>
    <row r="27" spans="1:2">
      <c r="A27" s="96" t="s">
        <v>179</v>
      </c>
      <c r="B27" s="101" t="s">
        <v>22</v>
      </c>
    </row>
    <row r="28" spans="1:2">
      <c r="A28" s="96" t="s">
        <v>180</v>
      </c>
      <c r="B28" s="101" t="s">
        <v>23</v>
      </c>
    </row>
    <row r="29" spans="1:2">
      <c r="A29" s="96" t="s">
        <v>181</v>
      </c>
      <c r="B29" s="101" t="s">
        <v>24</v>
      </c>
    </row>
    <row r="30" spans="1:2">
      <c r="A30" s="96" t="s">
        <v>182</v>
      </c>
      <c r="B30" s="101" t="s">
        <v>25</v>
      </c>
    </row>
    <row r="31" spans="1:2">
      <c r="A31" s="96" t="s">
        <v>183</v>
      </c>
      <c r="B31" s="104" t="s">
        <v>26</v>
      </c>
    </row>
    <row r="32" spans="1:2">
      <c r="A32" s="96" t="s">
        <v>184</v>
      </c>
      <c r="B32" s="104" t="s">
        <v>751</v>
      </c>
    </row>
    <row r="33" spans="1:2">
      <c r="A33" s="96" t="s">
        <v>185</v>
      </c>
      <c r="B33" s="104" t="s">
        <v>27</v>
      </c>
    </row>
    <row r="34" spans="1:2">
      <c r="A34" s="96" t="s">
        <v>186</v>
      </c>
      <c r="B34" s="104" t="s">
        <v>28</v>
      </c>
    </row>
    <row r="35" spans="1:2">
      <c r="A35" s="96" t="s">
        <v>343</v>
      </c>
      <c r="B35" s="104" t="s">
        <v>29</v>
      </c>
    </row>
    <row r="36" spans="1:2">
      <c r="A36" s="96" t="s">
        <v>188</v>
      </c>
      <c r="B36" s="104" t="s">
        <v>30</v>
      </c>
    </row>
    <row r="37" spans="1:2">
      <c r="A37" s="96" t="s">
        <v>189</v>
      </c>
      <c r="B37" s="104" t="s">
        <v>31</v>
      </c>
    </row>
    <row r="38" spans="1:2">
      <c r="A38" s="96" t="s">
        <v>190</v>
      </c>
      <c r="B38" s="104" t="s">
        <v>32</v>
      </c>
    </row>
    <row r="39" spans="1:2">
      <c r="A39" s="96" t="s">
        <v>191</v>
      </c>
      <c r="B39" s="104" t="s">
        <v>33</v>
      </c>
    </row>
    <row r="40" spans="1:2">
      <c r="A40" s="96" t="s">
        <v>192</v>
      </c>
      <c r="B40" s="104" t="s">
        <v>34</v>
      </c>
    </row>
    <row r="41" spans="1:2">
      <c r="A41" s="96" t="s">
        <v>752</v>
      </c>
      <c r="B41" s="104" t="s">
        <v>753</v>
      </c>
    </row>
    <row r="42" spans="1:2">
      <c r="A42" s="96" t="s">
        <v>193</v>
      </c>
      <c r="B42" s="104" t="s">
        <v>35</v>
      </c>
    </row>
    <row r="43" spans="1:2">
      <c r="A43" s="96" t="s">
        <v>194</v>
      </c>
      <c r="B43" s="104" t="s">
        <v>36</v>
      </c>
    </row>
    <row r="44" spans="1:2">
      <c r="A44" s="96" t="s">
        <v>195</v>
      </c>
      <c r="B44" s="104" t="s">
        <v>37</v>
      </c>
    </row>
    <row r="45" spans="1:2">
      <c r="A45" s="96" t="s">
        <v>196</v>
      </c>
      <c r="B45" s="104" t="s">
        <v>38</v>
      </c>
    </row>
    <row r="46" spans="1:2">
      <c r="A46" s="96" t="s">
        <v>197</v>
      </c>
      <c r="B46" s="104" t="s">
        <v>39</v>
      </c>
    </row>
    <row r="47" spans="1:2">
      <c r="A47" s="96" t="s">
        <v>198</v>
      </c>
      <c r="B47" s="104" t="s">
        <v>40</v>
      </c>
    </row>
    <row r="48" spans="1:2">
      <c r="A48" s="96" t="s">
        <v>199</v>
      </c>
      <c r="B48" s="104" t="s">
        <v>41</v>
      </c>
    </row>
    <row r="49" spans="1:2">
      <c r="A49" s="96" t="s">
        <v>200</v>
      </c>
      <c r="B49" s="104" t="s">
        <v>42</v>
      </c>
    </row>
    <row r="50" spans="1:2">
      <c r="A50" s="96" t="s">
        <v>201</v>
      </c>
      <c r="B50" s="104" t="s">
        <v>43</v>
      </c>
    </row>
    <row r="51" spans="1:2">
      <c r="A51" s="96" t="s">
        <v>202</v>
      </c>
      <c r="B51" s="104" t="s">
        <v>44</v>
      </c>
    </row>
    <row r="52" spans="1:2">
      <c r="A52" s="96" t="s">
        <v>203</v>
      </c>
      <c r="B52" s="104" t="s">
        <v>45</v>
      </c>
    </row>
    <row r="53" spans="1:2">
      <c r="A53" s="96" t="s">
        <v>204</v>
      </c>
      <c r="B53" s="104" t="s">
        <v>754</v>
      </c>
    </row>
    <row r="54" spans="1:2">
      <c r="A54" s="96" t="s">
        <v>205</v>
      </c>
      <c r="B54" s="104" t="s">
        <v>46</v>
      </c>
    </row>
    <row r="55" spans="1:2">
      <c r="A55" s="96" t="s">
        <v>206</v>
      </c>
      <c r="B55" s="104" t="s">
        <v>47</v>
      </c>
    </row>
    <row r="56" spans="1:2">
      <c r="A56" s="96" t="s">
        <v>207</v>
      </c>
      <c r="B56" s="104" t="s">
        <v>48</v>
      </c>
    </row>
    <row r="57" spans="1:2">
      <c r="A57" s="96" t="s">
        <v>208</v>
      </c>
      <c r="B57" s="104" t="s">
        <v>49</v>
      </c>
    </row>
    <row r="58" spans="1:2">
      <c r="A58" s="96" t="s">
        <v>209</v>
      </c>
      <c r="B58" s="104" t="s">
        <v>50</v>
      </c>
    </row>
    <row r="59" spans="1:2">
      <c r="A59" s="96" t="s">
        <v>730</v>
      </c>
      <c r="B59" s="137"/>
    </row>
    <row r="60" spans="1:2">
      <c r="A60" s="96"/>
      <c r="B60" s="105" t="s">
        <v>301</v>
      </c>
    </row>
    <row r="61" spans="1:2">
      <c r="A61" s="96" t="s">
        <v>210</v>
      </c>
      <c r="B61" s="106" t="s">
        <v>307</v>
      </c>
    </row>
    <row r="62" spans="1:2">
      <c r="A62" s="96" t="s">
        <v>211</v>
      </c>
      <c r="B62" s="106" t="s">
        <v>308</v>
      </c>
    </row>
    <row r="63" spans="1:2">
      <c r="A63" s="96" t="s">
        <v>212</v>
      </c>
      <c r="B63" s="106" t="s">
        <v>309</v>
      </c>
    </row>
    <row r="64" spans="1:2">
      <c r="A64" s="96" t="s">
        <v>213</v>
      </c>
      <c r="B64" s="106" t="s">
        <v>310</v>
      </c>
    </row>
    <row r="65" spans="1:2">
      <c r="A65" s="96" t="s">
        <v>214</v>
      </c>
      <c r="B65" s="106" t="s">
        <v>311</v>
      </c>
    </row>
    <row r="66" spans="1:2">
      <c r="A66" s="96" t="s">
        <v>215</v>
      </c>
      <c r="B66" s="106" t="s">
        <v>312</v>
      </c>
    </row>
    <row r="67" spans="1:2">
      <c r="A67" s="96" t="s">
        <v>216</v>
      </c>
      <c r="B67" s="106" t="s">
        <v>313</v>
      </c>
    </row>
    <row r="68" spans="1:2">
      <c r="A68" s="96" t="s">
        <v>217</v>
      </c>
      <c r="B68" s="106" t="s">
        <v>314</v>
      </c>
    </row>
    <row r="69" spans="1:2">
      <c r="A69" s="96" t="s">
        <v>218</v>
      </c>
      <c r="B69" s="106" t="s">
        <v>315</v>
      </c>
    </row>
    <row r="70" spans="1:2">
      <c r="A70" s="96" t="s">
        <v>219</v>
      </c>
      <c r="B70" s="106" t="s">
        <v>316</v>
      </c>
    </row>
    <row r="71" spans="1:2">
      <c r="A71" s="96" t="s">
        <v>220</v>
      </c>
      <c r="B71" s="106" t="s">
        <v>317</v>
      </c>
    </row>
    <row r="72" spans="1:2">
      <c r="A72" s="96" t="s">
        <v>221</v>
      </c>
      <c r="B72" s="106" t="s">
        <v>318</v>
      </c>
    </row>
    <row r="73" spans="1:2">
      <c r="A73" s="96" t="s">
        <v>222</v>
      </c>
      <c r="B73" s="106" t="s">
        <v>319</v>
      </c>
    </row>
    <row r="74" spans="1:2">
      <c r="A74" s="96" t="s">
        <v>223</v>
      </c>
      <c r="B74" s="106" t="s">
        <v>320</v>
      </c>
    </row>
    <row r="75" spans="1:2">
      <c r="A75" s="96" t="s">
        <v>224</v>
      </c>
      <c r="B75" s="106" t="s">
        <v>321</v>
      </c>
    </row>
    <row r="76" spans="1:2">
      <c r="A76" s="96" t="s">
        <v>225</v>
      </c>
      <c r="B76" s="106" t="s">
        <v>322</v>
      </c>
    </row>
    <row r="77" spans="1:2">
      <c r="A77" s="96" t="s">
        <v>226</v>
      </c>
      <c r="B77" s="106" t="s">
        <v>323</v>
      </c>
    </row>
    <row r="78" spans="1:2">
      <c r="A78" s="96" t="s">
        <v>227</v>
      </c>
      <c r="B78" s="106" t="s">
        <v>324</v>
      </c>
    </row>
    <row r="79" spans="1:2">
      <c r="A79" s="96" t="s">
        <v>228</v>
      </c>
      <c r="B79" s="106" t="s">
        <v>325</v>
      </c>
    </row>
    <row r="80" spans="1:2">
      <c r="A80" s="96" t="s">
        <v>229</v>
      </c>
      <c r="B80" s="106" t="s">
        <v>326</v>
      </c>
    </row>
    <row r="81" spans="1:2">
      <c r="A81" s="96" t="s">
        <v>230</v>
      </c>
      <c r="B81" s="106" t="s">
        <v>327</v>
      </c>
    </row>
    <row r="82" spans="1:2">
      <c r="A82" s="96" t="s">
        <v>231</v>
      </c>
      <c r="B82" s="106" t="s">
        <v>755</v>
      </c>
    </row>
    <row r="83" spans="1:2">
      <c r="A83" s="96" t="s">
        <v>232</v>
      </c>
      <c r="B83" s="106" t="s">
        <v>328</v>
      </c>
    </row>
    <row r="84" spans="1:2">
      <c r="A84" s="96" t="s">
        <v>233</v>
      </c>
      <c r="B84" s="106" t="s">
        <v>329</v>
      </c>
    </row>
    <row r="85" spans="1:2">
      <c r="A85" s="96" t="s">
        <v>234</v>
      </c>
      <c r="B85" s="106" t="s">
        <v>791</v>
      </c>
    </row>
    <row r="86" spans="1:2">
      <c r="A86" s="96" t="s">
        <v>235</v>
      </c>
      <c r="B86" s="106" t="s">
        <v>756</v>
      </c>
    </row>
    <row r="87" spans="1:2">
      <c r="A87" s="96" t="s">
        <v>236</v>
      </c>
      <c r="B87" s="106" t="s">
        <v>330</v>
      </c>
    </row>
    <row r="88" spans="1:2">
      <c r="A88" s="96" t="s">
        <v>237</v>
      </c>
      <c r="B88" s="106" t="s">
        <v>331</v>
      </c>
    </row>
    <row r="89" spans="1:2">
      <c r="A89" s="96" t="s">
        <v>757</v>
      </c>
      <c r="B89" s="106" t="s">
        <v>758</v>
      </c>
    </row>
    <row r="90" spans="1:2">
      <c r="A90" s="96" t="s">
        <v>769</v>
      </c>
      <c r="B90" s="106" t="s">
        <v>759</v>
      </c>
    </row>
    <row r="91" spans="1:2">
      <c r="A91" s="96" t="s">
        <v>770</v>
      </c>
      <c r="B91" s="106" t="s">
        <v>760</v>
      </c>
    </row>
    <row r="92" spans="1:2">
      <c r="A92" s="96" t="s">
        <v>771</v>
      </c>
      <c r="B92" s="106" t="s">
        <v>761</v>
      </c>
    </row>
    <row r="93" spans="1:2">
      <c r="A93" s="96" t="s">
        <v>772</v>
      </c>
      <c r="B93" s="106" t="s">
        <v>762</v>
      </c>
    </row>
    <row r="94" spans="1:2">
      <c r="A94" s="96" t="s">
        <v>773</v>
      </c>
      <c r="B94" s="106" t="s">
        <v>763</v>
      </c>
    </row>
    <row r="95" spans="1:2">
      <c r="A95" s="96" t="s">
        <v>774</v>
      </c>
      <c r="B95" s="106" t="s">
        <v>764</v>
      </c>
    </row>
    <row r="96" spans="1:2">
      <c r="A96" s="96" t="s">
        <v>775</v>
      </c>
      <c r="B96" s="106" t="s">
        <v>765</v>
      </c>
    </row>
    <row r="97" spans="1:2">
      <c r="A97" s="96" t="s">
        <v>776</v>
      </c>
      <c r="B97" s="106" t="s">
        <v>766</v>
      </c>
    </row>
    <row r="98" spans="1:2">
      <c r="A98" s="96" t="s">
        <v>777</v>
      </c>
      <c r="B98" s="106" t="s">
        <v>767</v>
      </c>
    </row>
    <row r="99" spans="1:2">
      <c r="A99" s="96" t="s">
        <v>778</v>
      </c>
      <c r="B99" s="106" t="s">
        <v>768</v>
      </c>
    </row>
    <row r="100" spans="1:2">
      <c r="A100" s="96"/>
      <c r="B100" s="106"/>
    </row>
    <row r="101" spans="1:2">
      <c r="A101" s="96" t="s">
        <v>238</v>
      </c>
      <c r="B101" s="16" t="s">
        <v>332</v>
      </c>
    </row>
    <row r="102" spans="1:2">
      <c r="A102" s="96" t="s">
        <v>239</v>
      </c>
      <c r="B102" s="16" t="s">
        <v>333</v>
      </c>
    </row>
    <row r="103" spans="1:2">
      <c r="A103" s="96" t="s">
        <v>240</v>
      </c>
      <c r="B103" s="16" t="s">
        <v>334</v>
      </c>
    </row>
    <row r="104" spans="1:2">
      <c r="A104" s="96" t="s">
        <v>241</v>
      </c>
      <c r="B104" s="16" t="s">
        <v>335</v>
      </c>
    </row>
    <row r="105" spans="1:2">
      <c r="A105" s="96" t="s">
        <v>242</v>
      </c>
      <c r="B105" s="16" t="s">
        <v>336</v>
      </c>
    </row>
    <row r="106" spans="1:2">
      <c r="A106" s="96" t="s">
        <v>243</v>
      </c>
      <c r="B106" s="16" t="s">
        <v>337</v>
      </c>
    </row>
    <row r="107" spans="1:2">
      <c r="A107" s="96" t="s">
        <v>244</v>
      </c>
      <c r="B107" s="16" t="s">
        <v>338</v>
      </c>
    </row>
    <row r="108" spans="1:2">
      <c r="A108" s="96" t="s">
        <v>245</v>
      </c>
      <c r="B108" s="16" t="s">
        <v>339</v>
      </c>
    </row>
    <row r="109" spans="1:2">
      <c r="A109" s="96" t="s">
        <v>246</v>
      </c>
      <c r="B109" s="16" t="s">
        <v>340</v>
      </c>
    </row>
    <row r="110" spans="1:2">
      <c r="A110" s="96" t="s">
        <v>247</v>
      </c>
      <c r="B110" s="16" t="s">
        <v>341</v>
      </c>
    </row>
    <row r="111" spans="1:2">
      <c r="A111" s="96" t="s">
        <v>248</v>
      </c>
      <c r="B111" s="16" t="s">
        <v>342</v>
      </c>
    </row>
    <row r="112" spans="1:2">
      <c r="A112" s="96"/>
      <c r="B112" s="54" t="s">
        <v>300</v>
      </c>
    </row>
    <row r="113" spans="1:2">
      <c r="A113" s="97" t="s">
        <v>249</v>
      </c>
      <c r="B113" s="104" t="s">
        <v>89</v>
      </c>
    </row>
    <row r="114" spans="1:2">
      <c r="A114" s="97" t="s">
        <v>250</v>
      </c>
      <c r="B114" s="104" t="s">
        <v>90</v>
      </c>
    </row>
    <row r="115" spans="1:2">
      <c r="A115" s="97" t="s">
        <v>251</v>
      </c>
      <c r="B115" s="104" t="s">
        <v>91</v>
      </c>
    </row>
    <row r="116" spans="1:2">
      <c r="A116" s="97" t="s">
        <v>252</v>
      </c>
      <c r="B116" s="104" t="s">
        <v>93</v>
      </c>
    </row>
    <row r="117" spans="1:2">
      <c r="A117" s="97" t="s">
        <v>253</v>
      </c>
      <c r="B117" s="104" t="s">
        <v>95</v>
      </c>
    </row>
    <row r="118" spans="1:2">
      <c r="A118" s="97" t="s">
        <v>254</v>
      </c>
      <c r="B118" s="104" t="s">
        <v>96</v>
      </c>
    </row>
    <row r="119" spans="1:2">
      <c r="A119" s="97" t="s">
        <v>255</v>
      </c>
      <c r="B119" s="104" t="s">
        <v>98</v>
      </c>
    </row>
    <row r="120" spans="1:2">
      <c r="A120" s="97" t="s">
        <v>259</v>
      </c>
      <c r="B120" s="104" t="s">
        <v>102</v>
      </c>
    </row>
    <row r="121" spans="1:2">
      <c r="A121" s="97" t="s">
        <v>256</v>
      </c>
      <c r="B121" s="104" t="s">
        <v>103</v>
      </c>
    </row>
    <row r="122" spans="1:2">
      <c r="A122" s="97" t="s">
        <v>257</v>
      </c>
      <c r="B122" s="104" t="s">
        <v>104</v>
      </c>
    </row>
    <row r="123" spans="1:2">
      <c r="A123" s="97" t="s">
        <v>258</v>
      </c>
      <c r="B123" s="104" t="s">
        <v>105</v>
      </c>
    </row>
    <row r="124" spans="1:2">
      <c r="A124" s="97" t="s">
        <v>260</v>
      </c>
      <c r="B124" s="104" t="s">
        <v>106</v>
      </c>
    </row>
    <row r="125" spans="1:2">
      <c r="A125" s="97" t="s">
        <v>261</v>
      </c>
      <c r="B125" s="104" t="s">
        <v>107</v>
      </c>
    </row>
    <row r="126" spans="1:2">
      <c r="A126" s="97" t="s">
        <v>262</v>
      </c>
      <c r="B126" s="104" t="s">
        <v>108</v>
      </c>
    </row>
    <row r="127" spans="1:2">
      <c r="A127" s="97" t="s">
        <v>263</v>
      </c>
      <c r="B127" s="104" t="s">
        <v>109</v>
      </c>
    </row>
    <row r="128" spans="1:2">
      <c r="A128" s="97" t="s">
        <v>264</v>
      </c>
      <c r="B128" s="104" t="s">
        <v>110</v>
      </c>
    </row>
    <row r="129" spans="1:2">
      <c r="A129" s="97" t="s">
        <v>265</v>
      </c>
      <c r="B129" s="104" t="s">
        <v>113</v>
      </c>
    </row>
    <row r="130" spans="1:2">
      <c r="A130" s="97" t="s">
        <v>266</v>
      </c>
      <c r="B130" s="104" t="s">
        <v>114</v>
      </c>
    </row>
    <row r="131" spans="1:2">
      <c r="A131" s="97" t="s">
        <v>267</v>
      </c>
      <c r="B131" s="104" t="s">
        <v>115</v>
      </c>
    </row>
    <row r="132" spans="1:2">
      <c r="A132" s="97" t="s">
        <v>268</v>
      </c>
      <c r="B132" s="104" t="s">
        <v>116</v>
      </c>
    </row>
    <row r="133" spans="1:2">
      <c r="A133" s="97" t="s">
        <v>269</v>
      </c>
      <c r="B133" s="104" t="s">
        <v>118</v>
      </c>
    </row>
    <row r="134" spans="1:2">
      <c r="A134" s="97" t="s">
        <v>270</v>
      </c>
      <c r="B134" s="104" t="s">
        <v>119</v>
      </c>
    </row>
    <row r="135" spans="1:2">
      <c r="A135" s="97" t="s">
        <v>271</v>
      </c>
      <c r="B135" s="104" t="s">
        <v>120</v>
      </c>
    </row>
    <row r="136" spans="1:2">
      <c r="A136" s="97" t="s">
        <v>272</v>
      </c>
      <c r="B136" s="104" t="s">
        <v>121</v>
      </c>
    </row>
    <row r="137" spans="1:2">
      <c r="A137" s="97" t="s">
        <v>273</v>
      </c>
      <c r="B137" s="107" t="s">
        <v>124</v>
      </c>
    </row>
    <row r="138" spans="1:2">
      <c r="A138" s="97" t="s">
        <v>274</v>
      </c>
      <c r="B138" s="104" t="s">
        <v>126</v>
      </c>
    </row>
    <row r="139" spans="1:2">
      <c r="A139" s="97" t="s">
        <v>275</v>
      </c>
      <c r="B139" s="104" t="s">
        <v>128</v>
      </c>
    </row>
    <row r="140" spans="1:2">
      <c r="A140" s="97" t="s">
        <v>276</v>
      </c>
      <c r="B140" s="104" t="s">
        <v>129</v>
      </c>
    </row>
    <row r="141" spans="1:2">
      <c r="A141" s="97" t="s">
        <v>277</v>
      </c>
      <c r="B141" s="104" t="s">
        <v>130</v>
      </c>
    </row>
    <row r="142" spans="1:2">
      <c r="A142" s="97" t="s">
        <v>278</v>
      </c>
      <c r="B142" s="104" t="s">
        <v>131</v>
      </c>
    </row>
    <row r="143" spans="1:2">
      <c r="A143" s="97" t="s">
        <v>279</v>
      </c>
      <c r="B143" s="104" t="s">
        <v>132</v>
      </c>
    </row>
    <row r="144" spans="1:2">
      <c r="A144" s="97" t="s">
        <v>280</v>
      </c>
      <c r="B144" s="104" t="s">
        <v>133</v>
      </c>
    </row>
    <row r="145" spans="1:2">
      <c r="A145" s="97" t="s">
        <v>281</v>
      </c>
      <c r="B145" s="104" t="s">
        <v>134</v>
      </c>
    </row>
    <row r="146" spans="1:2">
      <c r="A146" s="97" t="s">
        <v>282</v>
      </c>
      <c r="B146" s="104" t="s">
        <v>135</v>
      </c>
    </row>
    <row r="147" spans="1:2">
      <c r="A147" s="97" t="s">
        <v>283</v>
      </c>
      <c r="B147" s="104" t="s">
        <v>136</v>
      </c>
    </row>
    <row r="148" spans="1:2">
      <c r="A148" s="97" t="s">
        <v>284</v>
      </c>
      <c r="B148" s="104" t="s">
        <v>137</v>
      </c>
    </row>
    <row r="149" spans="1:2">
      <c r="A149" s="97" t="s">
        <v>285</v>
      </c>
      <c r="B149" s="104" t="s">
        <v>138</v>
      </c>
    </row>
    <row r="150" spans="1:2">
      <c r="A150" s="97" t="s">
        <v>286</v>
      </c>
      <c r="B150" s="104" t="s">
        <v>139</v>
      </c>
    </row>
    <row r="151" spans="1:2">
      <c r="A151" s="97" t="s">
        <v>287</v>
      </c>
      <c r="B151" s="104" t="s">
        <v>140</v>
      </c>
    </row>
    <row r="152" spans="1:2">
      <c r="A152" s="97" t="s">
        <v>288</v>
      </c>
      <c r="B152" s="104" t="s">
        <v>141</v>
      </c>
    </row>
    <row r="153" spans="1:2">
      <c r="A153" s="97" t="s">
        <v>289</v>
      </c>
      <c r="B153" s="104" t="s">
        <v>142</v>
      </c>
    </row>
    <row r="154" spans="1:2">
      <c r="A154" s="97" t="s">
        <v>290</v>
      </c>
      <c r="B154" s="104" t="s">
        <v>143</v>
      </c>
    </row>
    <row r="155" spans="1:2">
      <c r="A155" s="97" t="s">
        <v>291</v>
      </c>
      <c r="B155" s="104" t="s">
        <v>146</v>
      </c>
    </row>
    <row r="156" spans="1:2">
      <c r="A156" s="97" t="s">
        <v>292</v>
      </c>
      <c r="B156" s="104" t="s">
        <v>147</v>
      </c>
    </row>
    <row r="157" spans="1:2">
      <c r="A157" s="97" t="s">
        <v>293</v>
      </c>
      <c r="B157" s="104" t="s">
        <v>148</v>
      </c>
    </row>
    <row r="158" spans="1:2">
      <c r="A158" s="97" t="s">
        <v>294</v>
      </c>
      <c r="B158" s="104" t="s">
        <v>149</v>
      </c>
    </row>
    <row r="159" spans="1:2">
      <c r="A159" s="97" t="s">
        <v>295</v>
      </c>
      <c r="B159" s="104" t="s">
        <v>150</v>
      </c>
    </row>
    <row r="160" spans="1:2">
      <c r="A160" s="97" t="s">
        <v>296</v>
      </c>
      <c r="B160" s="104" t="s">
        <v>151</v>
      </c>
    </row>
    <row r="161" spans="1:2">
      <c r="A161" s="97" t="s">
        <v>297</v>
      </c>
      <c r="B161" s="104" t="s">
        <v>152</v>
      </c>
    </row>
    <row r="162" spans="1:2">
      <c r="A162" s="97" t="s">
        <v>298</v>
      </c>
      <c r="B162" s="104" t="s">
        <v>153</v>
      </c>
    </row>
    <row r="163" spans="1:2">
      <c r="A163" s="97" t="s">
        <v>299</v>
      </c>
      <c r="B163" s="104" t="s">
        <v>154</v>
      </c>
    </row>
  </sheetData>
  <phoneticPr fontId="3" type="noConversion"/>
  <pageMargins left="0.75" right="0.75" top="1" bottom="1" header="0.5" footer="0.5"/>
  <pageSetup paperSize="9"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命名范围</vt:lpstr>
      </vt:variant>
      <vt:variant>
        <vt:i4>4</vt:i4>
      </vt:variant>
    </vt:vector>
  </HeadingPairs>
  <TitlesOfParts>
    <vt:vector size="11" baseType="lpstr">
      <vt:lpstr>合并资产负债表</vt:lpstr>
      <vt:lpstr>合并利润表</vt:lpstr>
      <vt:lpstr>合并现金流量表</vt:lpstr>
      <vt:lpstr>合并权益变动表</vt:lpstr>
      <vt:lpstr>本期合并底稿</vt:lpstr>
      <vt:lpstr>本期抵消分录</vt:lpstr>
      <vt:lpstr>科目表</vt:lpstr>
      <vt:lpstr>合并权益变动表!Print_Area</vt:lpstr>
      <vt:lpstr>合并现金流量表!Print_Area</vt:lpstr>
      <vt:lpstr>本期抵消分录!Print_Titles</vt:lpstr>
      <vt:lpstr>本期合并底稿!Print_Titles</vt:lpstr>
    </vt:vector>
  </TitlesOfParts>
  <Company>osic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xlzhang</dc:creator>
  <cp:lastModifiedBy>cashq</cp:lastModifiedBy>
  <cp:lastPrinted>2015-11-04T09:05:05Z</cp:lastPrinted>
  <dcterms:created xsi:type="dcterms:W3CDTF">2009-04-08T02:28:59Z</dcterms:created>
  <dcterms:modified xsi:type="dcterms:W3CDTF">2015-11-05T06:00:45Z</dcterms:modified>
</cp:coreProperties>
</file>